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95" documentId="8_{32D73CF8-2678-4097-8F18-91F2C874E970}" xr6:coauthVersionLast="47" xr6:coauthVersionMax="47" xr10:uidLastSave="{75B5F3C8-701F-4BF1-999B-7348B439FB33}"/>
  <bookViews>
    <workbookView xWindow="23880" yWindow="-45" windowWidth="24240" windowHeight="13020" tabRatio="663" xr2:uid="{00000000-000D-0000-FFFF-FFFF00000000}"/>
  </bookViews>
  <sheets>
    <sheet name="Instructions &amp; Reference" sheetId="1" r:id="rId1"/>
    <sheet name="Teams &amp; HM" sheetId="2" r:id="rId2"/>
    <sheet name="Ride" sheetId="3" r:id="rId3"/>
    <sheet name="Run" sheetId="6" r:id="rId4"/>
    <sheet name="Shoot" sheetId="4" r:id="rId5"/>
    <sheet name="Swim" sheetId="5" r:id="rId6"/>
    <sheet name="Scores" sheetId="8" r:id="rId7"/>
    <sheet name="Ind. Placings" sheetId="9" r:id="rId8"/>
    <sheet name="Team Placings" sheetId="10" r:id="rId9"/>
  </sheets>
  <definedNames>
    <definedName name="_xlnm.Print_Area" localSheetId="7">'Ind. Placings'!$B$1:$T$53</definedName>
    <definedName name="_xlnm.Print_Area" localSheetId="8">Table1[#All]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5" l="1"/>
  <c r="B22" i="10" l="1"/>
  <c r="C22" i="10" s="1"/>
  <c r="B21" i="10"/>
  <c r="C21" i="10" s="1"/>
  <c r="B20" i="10"/>
  <c r="E20" i="10" s="1"/>
  <c r="B19" i="10"/>
  <c r="E19" i="10" s="1"/>
  <c r="B18" i="10"/>
  <c r="E18" i="10" s="1"/>
  <c r="B17" i="10"/>
  <c r="E17" i="10" s="1"/>
  <c r="B16" i="10"/>
  <c r="C16" i="10" s="1"/>
  <c r="B15" i="10"/>
  <c r="E15" i="10" s="1"/>
  <c r="B14" i="10"/>
  <c r="E14" i="10" s="1"/>
  <c r="B13" i="10"/>
  <c r="E13" i="10" s="1"/>
  <c r="B12" i="10"/>
  <c r="E12" i="10" s="1"/>
  <c r="B11" i="10"/>
  <c r="E11" i="10" s="1"/>
  <c r="B10" i="10"/>
  <c r="E10" i="10" s="1"/>
  <c r="B9" i="10"/>
  <c r="C9" i="10" s="1"/>
  <c r="B8" i="10"/>
  <c r="C8" i="10" s="1"/>
  <c r="B7" i="10"/>
  <c r="C7" i="10" s="1"/>
  <c r="E16" i="10"/>
  <c r="E8" i="10"/>
  <c r="B6" i="10"/>
  <c r="B5" i="10"/>
  <c r="B4" i="10"/>
  <c r="B3" i="10"/>
  <c r="E21" i="10" l="1"/>
  <c r="E22" i="10"/>
  <c r="E7" i="10"/>
  <c r="E9" i="10"/>
  <c r="C19" i="10"/>
  <c r="C12" i="10"/>
  <c r="C20" i="10"/>
  <c r="C11" i="10"/>
  <c r="C13" i="10"/>
  <c r="C17" i="10"/>
  <c r="C15" i="10"/>
  <c r="C10" i="10"/>
  <c r="C14" i="10"/>
  <c r="C18" i="10"/>
  <c r="AG84" i="8"/>
  <c r="AE86" i="8"/>
  <c r="AI86" i="8" s="1"/>
  <c r="AH90" i="8"/>
  <c r="AH95" i="8"/>
  <c r="AF98" i="8"/>
  <c r="AE100" i="8"/>
  <c r="AI100" i="8" s="1"/>
  <c r="AC102" i="8"/>
  <c r="AC101" i="8"/>
  <c r="AC100" i="8"/>
  <c r="AC99" i="8"/>
  <c r="AC98" i="8"/>
  <c r="AU98" i="8" s="1"/>
  <c r="AC97" i="8"/>
  <c r="AC96" i="8"/>
  <c r="AC95" i="8"/>
  <c r="AC94" i="8"/>
  <c r="AC93" i="8"/>
  <c r="AU93" i="8" s="1"/>
  <c r="AC92" i="8"/>
  <c r="AC91" i="8"/>
  <c r="AC90" i="8"/>
  <c r="AC89" i="8"/>
  <c r="AC88" i="8"/>
  <c r="AU88" i="8" s="1"/>
  <c r="AC87" i="8"/>
  <c r="AC86" i="8"/>
  <c r="AC85" i="8"/>
  <c r="AC84" i="8"/>
  <c r="AC83" i="8"/>
  <c r="AU83" i="8" s="1"/>
  <c r="AC82" i="8"/>
  <c r="AC81" i="8"/>
  <c r="AC80" i="8"/>
  <c r="AC79" i="8"/>
  <c r="AC78" i="8"/>
  <c r="AU78" i="8" s="1"/>
  <c r="AC77" i="8"/>
  <c r="AC76" i="8"/>
  <c r="AC75" i="8"/>
  <c r="AC74" i="8"/>
  <c r="AC73" i="8"/>
  <c r="AU73" i="8" s="1"/>
  <c r="AC72" i="8"/>
  <c r="AC71" i="8"/>
  <c r="AC70" i="8"/>
  <c r="AC69" i="8"/>
  <c r="AC68" i="8"/>
  <c r="AU68" i="8" s="1"/>
  <c r="AC67" i="8"/>
  <c r="AC66" i="8"/>
  <c r="AC65" i="8"/>
  <c r="AC64" i="8"/>
  <c r="AC63" i="8"/>
  <c r="AU63" i="8" s="1"/>
  <c r="AC62" i="8"/>
  <c r="AC61" i="8"/>
  <c r="AC60" i="8"/>
  <c r="AC59" i="8"/>
  <c r="AC58" i="8"/>
  <c r="AU58" i="8" s="1"/>
  <c r="AC57" i="8"/>
  <c r="AC56" i="8"/>
  <c r="AC55" i="8"/>
  <c r="AC54" i="8"/>
  <c r="AC53" i="8"/>
  <c r="AU53" i="8" s="1"/>
  <c r="AC52" i="8"/>
  <c r="AC51" i="8"/>
  <c r="AC50" i="8"/>
  <c r="AC49" i="8"/>
  <c r="AC48" i="8"/>
  <c r="AU48" i="8" s="1"/>
  <c r="AC47" i="8"/>
  <c r="AC46" i="8"/>
  <c r="AC45" i="8"/>
  <c r="AC44" i="8"/>
  <c r="AC43" i="8"/>
  <c r="AU43" i="8" s="1"/>
  <c r="AC42" i="8"/>
  <c r="AC41" i="8"/>
  <c r="AC40" i="8"/>
  <c r="AC39" i="8"/>
  <c r="AC38" i="8"/>
  <c r="AU38" i="8" s="1"/>
  <c r="AC37" i="8"/>
  <c r="AC36" i="8"/>
  <c r="AC35" i="8"/>
  <c r="AC34" i="8"/>
  <c r="AC33" i="8"/>
  <c r="AU33" i="8" s="1"/>
  <c r="AC32" i="8"/>
  <c r="AC31" i="8"/>
  <c r="AC30" i="8"/>
  <c r="AC29" i="8"/>
  <c r="AC28" i="8"/>
  <c r="AU28" i="8" s="1"/>
  <c r="AC27" i="8"/>
  <c r="AC26" i="8"/>
  <c r="AC25" i="8"/>
  <c r="AC24" i="8"/>
  <c r="AC23" i="8"/>
  <c r="AU23" i="8" s="1"/>
  <c r="AC22" i="8"/>
  <c r="AC21" i="8"/>
  <c r="AC20" i="8"/>
  <c r="AC19" i="8"/>
  <c r="AC18" i="8"/>
  <c r="AC17" i="8"/>
  <c r="AC16" i="8"/>
  <c r="AC15" i="8"/>
  <c r="AC14" i="8"/>
  <c r="AC13" i="8"/>
  <c r="AC12" i="8"/>
  <c r="AC11" i="8"/>
  <c r="AC10" i="8"/>
  <c r="AC9" i="8"/>
  <c r="AC8" i="8"/>
  <c r="AC7" i="8"/>
  <c r="AC6" i="8"/>
  <c r="AC5" i="8"/>
  <c r="AC4" i="8"/>
  <c r="AC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AB21" i="8"/>
  <c r="AB20" i="8"/>
  <c r="AB19" i="8"/>
  <c r="AB18" i="8"/>
  <c r="AB17" i="8"/>
  <c r="AB16" i="8"/>
  <c r="AB15" i="8"/>
  <c r="AB14" i="8"/>
  <c r="AB13" i="8"/>
  <c r="AB12" i="8"/>
  <c r="AB11" i="8"/>
  <c r="AB10" i="8"/>
  <c r="AB9" i="8"/>
  <c r="AB8" i="8"/>
  <c r="AB7" i="8"/>
  <c r="AB6" i="8"/>
  <c r="AB5" i="8"/>
  <c r="AB4" i="8"/>
  <c r="AB3" i="8"/>
  <c r="AA102" i="8"/>
  <c r="AA101" i="8"/>
  <c r="AA100" i="8"/>
  <c r="AA99" i="8"/>
  <c r="AA98" i="8"/>
  <c r="AA97" i="8"/>
  <c r="AA96" i="8"/>
  <c r="AA95" i="8"/>
  <c r="AA94" i="8"/>
  <c r="AA93" i="8"/>
  <c r="AA92" i="8"/>
  <c r="AA91" i="8"/>
  <c r="AA90" i="8"/>
  <c r="AA89" i="8"/>
  <c r="AA88" i="8"/>
  <c r="AA87" i="8"/>
  <c r="AA86" i="8"/>
  <c r="AA85" i="8"/>
  <c r="AA84" i="8"/>
  <c r="AA83" i="8"/>
  <c r="AA82" i="8"/>
  <c r="AA81" i="8"/>
  <c r="AA80" i="8"/>
  <c r="AA79" i="8"/>
  <c r="AA78" i="8"/>
  <c r="AA77" i="8"/>
  <c r="AA76" i="8"/>
  <c r="AA75" i="8"/>
  <c r="AA74" i="8"/>
  <c r="AA73" i="8"/>
  <c r="AA72" i="8"/>
  <c r="AA71" i="8"/>
  <c r="AA70" i="8"/>
  <c r="AA69" i="8"/>
  <c r="AA68" i="8"/>
  <c r="AA67" i="8"/>
  <c r="AA66" i="8"/>
  <c r="AA65" i="8"/>
  <c r="AA64" i="8"/>
  <c r="AA63" i="8"/>
  <c r="AA62" i="8"/>
  <c r="AA61" i="8"/>
  <c r="AA60" i="8"/>
  <c r="AA59" i="8"/>
  <c r="AA58" i="8"/>
  <c r="AA57" i="8"/>
  <c r="AA56" i="8"/>
  <c r="AA55" i="8"/>
  <c r="AA54" i="8"/>
  <c r="AA53" i="8"/>
  <c r="AA52" i="8"/>
  <c r="AA51" i="8"/>
  <c r="AA50" i="8"/>
  <c r="AA49" i="8"/>
  <c r="AA48" i="8"/>
  <c r="AA47" i="8"/>
  <c r="AA46" i="8"/>
  <c r="AA45" i="8"/>
  <c r="AA44" i="8"/>
  <c r="AA43" i="8"/>
  <c r="AA42" i="8"/>
  <c r="AA41" i="8"/>
  <c r="AA40" i="8"/>
  <c r="AA39" i="8"/>
  <c r="AA38" i="8"/>
  <c r="AA37" i="8"/>
  <c r="AA36" i="8"/>
  <c r="AA35" i="8"/>
  <c r="AA34" i="8"/>
  <c r="AA33" i="8"/>
  <c r="AA32" i="8"/>
  <c r="AA31" i="8"/>
  <c r="AA30" i="8"/>
  <c r="AA29" i="8"/>
  <c r="AA28" i="8"/>
  <c r="AA27" i="8"/>
  <c r="AA26" i="8"/>
  <c r="AA25" i="8"/>
  <c r="AA24" i="8"/>
  <c r="AA23" i="8"/>
  <c r="AA22" i="8"/>
  <c r="AA21" i="8"/>
  <c r="AA20" i="8"/>
  <c r="AA19" i="8"/>
  <c r="AA18" i="8"/>
  <c r="AA17" i="8"/>
  <c r="AA16" i="8"/>
  <c r="AA15" i="8"/>
  <c r="AA14" i="8"/>
  <c r="AA13" i="8"/>
  <c r="AA12" i="8"/>
  <c r="AA11" i="8"/>
  <c r="AA10" i="8"/>
  <c r="AA9" i="8"/>
  <c r="AA8" i="8"/>
  <c r="AA7" i="8"/>
  <c r="AA6" i="8"/>
  <c r="AA5" i="8"/>
  <c r="AA4" i="8"/>
  <c r="AA3" i="8"/>
  <c r="Z102" i="8"/>
  <c r="Z101" i="8"/>
  <c r="Z100" i="8"/>
  <c r="Z99" i="8"/>
  <c r="Z98" i="8"/>
  <c r="Z97" i="8"/>
  <c r="Z96" i="8"/>
  <c r="Z95" i="8"/>
  <c r="Z94" i="8"/>
  <c r="Z93" i="8"/>
  <c r="Z92" i="8"/>
  <c r="Z91" i="8"/>
  <c r="Z90" i="8"/>
  <c r="Z89" i="8"/>
  <c r="Z88" i="8"/>
  <c r="Z87" i="8"/>
  <c r="Z86" i="8"/>
  <c r="Z85" i="8"/>
  <c r="Z84" i="8"/>
  <c r="Z83" i="8"/>
  <c r="Z82" i="8"/>
  <c r="Z81" i="8"/>
  <c r="Z80" i="8"/>
  <c r="Z79" i="8"/>
  <c r="Z78" i="8"/>
  <c r="Z77" i="8"/>
  <c r="Z76" i="8"/>
  <c r="Z75" i="8"/>
  <c r="Z74" i="8"/>
  <c r="Z73" i="8"/>
  <c r="Z72" i="8"/>
  <c r="Z71" i="8"/>
  <c r="Z70" i="8"/>
  <c r="Z69" i="8"/>
  <c r="Z68" i="8"/>
  <c r="Z67" i="8"/>
  <c r="Z66" i="8"/>
  <c r="Z65" i="8"/>
  <c r="Z64" i="8"/>
  <c r="Z63" i="8"/>
  <c r="Z62" i="8"/>
  <c r="Z61" i="8"/>
  <c r="Z60" i="8"/>
  <c r="Z59" i="8"/>
  <c r="Z58" i="8"/>
  <c r="Z57" i="8"/>
  <c r="Z56" i="8"/>
  <c r="Z55" i="8"/>
  <c r="Z54" i="8"/>
  <c r="Z53" i="8"/>
  <c r="Z52" i="8"/>
  <c r="Z51" i="8"/>
  <c r="Z50" i="8"/>
  <c r="Z49" i="8"/>
  <c r="Z48" i="8"/>
  <c r="Z47" i="8"/>
  <c r="Z46" i="8"/>
  <c r="Z45" i="8"/>
  <c r="Z44" i="8"/>
  <c r="Z43" i="8"/>
  <c r="Z42" i="8"/>
  <c r="Z41" i="8"/>
  <c r="Z40" i="8"/>
  <c r="Z39" i="8"/>
  <c r="Z38" i="8"/>
  <c r="Z37" i="8"/>
  <c r="Z36" i="8"/>
  <c r="Z35" i="8"/>
  <c r="Z34" i="8"/>
  <c r="Z33" i="8"/>
  <c r="Z32" i="8"/>
  <c r="Z31" i="8"/>
  <c r="Z30" i="8"/>
  <c r="Z29" i="8"/>
  <c r="Z28" i="8"/>
  <c r="Z27" i="8"/>
  <c r="Z26" i="8"/>
  <c r="Z25" i="8"/>
  <c r="Z24" i="8"/>
  <c r="Z23" i="8"/>
  <c r="Z22" i="8"/>
  <c r="Z21" i="8"/>
  <c r="Z20" i="8"/>
  <c r="Z19" i="8"/>
  <c r="Z18" i="8"/>
  <c r="Z17" i="8"/>
  <c r="Z16" i="8"/>
  <c r="Z15" i="8"/>
  <c r="Z14" i="8"/>
  <c r="Z13" i="8"/>
  <c r="Z12" i="8"/>
  <c r="Z11" i="8"/>
  <c r="Z10" i="8"/>
  <c r="Z9" i="8"/>
  <c r="Z8" i="8"/>
  <c r="Z7" i="8"/>
  <c r="Z6" i="8"/>
  <c r="Z5" i="8"/>
  <c r="Z4" i="8"/>
  <c r="Z3" i="8"/>
  <c r="Z1" i="8"/>
  <c r="J3" i="4"/>
  <c r="J83" i="4"/>
  <c r="K83" i="4" s="1"/>
  <c r="J84" i="4"/>
  <c r="J85" i="4"/>
  <c r="AG85" i="8" s="1"/>
  <c r="J86" i="4"/>
  <c r="AG86" i="8" s="1"/>
  <c r="J87" i="4"/>
  <c r="AG87" i="8" s="1"/>
  <c r="J88" i="4"/>
  <c r="K88" i="4" s="1"/>
  <c r="J89" i="4"/>
  <c r="AG89" i="8" s="1"/>
  <c r="J90" i="4"/>
  <c r="AG90" i="8" s="1"/>
  <c r="J91" i="4"/>
  <c r="AG91" i="8" s="1"/>
  <c r="J92" i="4"/>
  <c r="AG92" i="8" s="1"/>
  <c r="J93" i="4"/>
  <c r="K93" i="4" s="1"/>
  <c r="J94" i="4"/>
  <c r="AG94" i="8" s="1"/>
  <c r="J95" i="4"/>
  <c r="AG95" i="8" s="1"/>
  <c r="J96" i="4"/>
  <c r="AG96" i="8" s="1"/>
  <c r="J97" i="4"/>
  <c r="AG97" i="8" s="1"/>
  <c r="J98" i="4"/>
  <c r="K98" i="4" s="1"/>
  <c r="J99" i="4"/>
  <c r="AG99" i="8" s="1"/>
  <c r="J100" i="4"/>
  <c r="AG100" i="8" s="1"/>
  <c r="J101" i="4"/>
  <c r="AG101" i="8" s="1"/>
  <c r="J102" i="4"/>
  <c r="AG102" i="8" s="1"/>
  <c r="K83" i="5"/>
  <c r="L83" i="5" s="1"/>
  <c r="K84" i="5"/>
  <c r="AH84" i="8" s="1"/>
  <c r="K85" i="5"/>
  <c r="AH85" i="8" s="1"/>
  <c r="K86" i="5"/>
  <c r="AH86" i="8" s="1"/>
  <c r="K87" i="5"/>
  <c r="AH87" i="8" s="1"/>
  <c r="K88" i="5"/>
  <c r="L88" i="5" s="1"/>
  <c r="K89" i="5"/>
  <c r="AH89" i="8" s="1"/>
  <c r="K90" i="5"/>
  <c r="K91" i="5"/>
  <c r="AH91" i="8" s="1"/>
  <c r="K92" i="5"/>
  <c r="AH92" i="8" s="1"/>
  <c r="K93" i="5"/>
  <c r="L93" i="5" s="1"/>
  <c r="K94" i="5"/>
  <c r="AH94" i="8" s="1"/>
  <c r="K95" i="5"/>
  <c r="K96" i="5"/>
  <c r="AH96" i="8" s="1"/>
  <c r="K97" i="5"/>
  <c r="AH97" i="8" s="1"/>
  <c r="K98" i="5"/>
  <c r="L98" i="5" s="1"/>
  <c r="K99" i="5"/>
  <c r="AH99" i="8" s="1"/>
  <c r="K100" i="5"/>
  <c r="AH100" i="8" s="1"/>
  <c r="K101" i="5"/>
  <c r="AH101" i="8" s="1"/>
  <c r="K102" i="5"/>
  <c r="AH102" i="8" s="1"/>
  <c r="D102" i="5"/>
  <c r="C102" i="5"/>
  <c r="B102" i="5"/>
  <c r="A102" i="5"/>
  <c r="D101" i="5"/>
  <c r="C101" i="5"/>
  <c r="B101" i="5"/>
  <c r="A101" i="5"/>
  <c r="D100" i="5"/>
  <c r="C100" i="5"/>
  <c r="B100" i="5"/>
  <c r="A100" i="5"/>
  <c r="D99" i="5"/>
  <c r="C99" i="5"/>
  <c r="B99" i="5"/>
  <c r="A99" i="5"/>
  <c r="D98" i="5"/>
  <c r="C98" i="5"/>
  <c r="B98" i="5"/>
  <c r="A98" i="5"/>
  <c r="D97" i="5"/>
  <c r="C97" i="5"/>
  <c r="B97" i="5"/>
  <c r="A97" i="5"/>
  <c r="D96" i="5"/>
  <c r="C96" i="5"/>
  <c r="B96" i="5"/>
  <c r="A96" i="5"/>
  <c r="D95" i="5"/>
  <c r="C95" i="5"/>
  <c r="B95" i="5"/>
  <c r="A95" i="5"/>
  <c r="D94" i="5"/>
  <c r="C94" i="5"/>
  <c r="B94" i="5"/>
  <c r="A94" i="5"/>
  <c r="D93" i="5"/>
  <c r="C93" i="5"/>
  <c r="B93" i="5"/>
  <c r="A93" i="5"/>
  <c r="D92" i="5"/>
  <c r="C92" i="5"/>
  <c r="B92" i="5"/>
  <c r="A92" i="5"/>
  <c r="D91" i="5"/>
  <c r="C91" i="5"/>
  <c r="B91" i="5"/>
  <c r="A91" i="5"/>
  <c r="D90" i="5"/>
  <c r="C90" i="5"/>
  <c r="B90" i="5"/>
  <c r="A90" i="5"/>
  <c r="D89" i="5"/>
  <c r="C89" i="5"/>
  <c r="B89" i="5"/>
  <c r="A89" i="5"/>
  <c r="D88" i="5"/>
  <c r="C88" i="5"/>
  <c r="B88" i="5"/>
  <c r="A88" i="5"/>
  <c r="D87" i="5"/>
  <c r="C87" i="5"/>
  <c r="B87" i="5"/>
  <c r="A87" i="5"/>
  <c r="D86" i="5"/>
  <c r="C86" i="5"/>
  <c r="B86" i="5"/>
  <c r="A86" i="5"/>
  <c r="D85" i="5"/>
  <c r="C85" i="5"/>
  <c r="B85" i="5"/>
  <c r="A85" i="5"/>
  <c r="D84" i="5"/>
  <c r="C84" i="5"/>
  <c r="B84" i="5"/>
  <c r="A84" i="5"/>
  <c r="D83" i="5"/>
  <c r="C83" i="5"/>
  <c r="B83" i="5"/>
  <c r="A83" i="5"/>
  <c r="D82" i="5"/>
  <c r="C82" i="5"/>
  <c r="B82" i="5"/>
  <c r="A82" i="5"/>
  <c r="D81" i="5"/>
  <c r="C81" i="5"/>
  <c r="B81" i="5"/>
  <c r="A81" i="5"/>
  <c r="D80" i="5"/>
  <c r="C80" i="5"/>
  <c r="B80" i="5"/>
  <c r="A80" i="5"/>
  <c r="D79" i="5"/>
  <c r="C79" i="5"/>
  <c r="B79" i="5"/>
  <c r="A79" i="5"/>
  <c r="D78" i="5"/>
  <c r="C78" i="5"/>
  <c r="B78" i="5"/>
  <c r="A78" i="5"/>
  <c r="D77" i="5"/>
  <c r="C77" i="5"/>
  <c r="B77" i="5"/>
  <c r="A77" i="5"/>
  <c r="D76" i="5"/>
  <c r="C76" i="5"/>
  <c r="B76" i="5"/>
  <c r="A76" i="5"/>
  <c r="D75" i="5"/>
  <c r="C75" i="5"/>
  <c r="B75" i="5"/>
  <c r="A75" i="5"/>
  <c r="D74" i="5"/>
  <c r="C74" i="5"/>
  <c r="B74" i="5"/>
  <c r="A74" i="5"/>
  <c r="D73" i="5"/>
  <c r="C73" i="5"/>
  <c r="B73" i="5"/>
  <c r="A73" i="5"/>
  <c r="D72" i="5"/>
  <c r="C72" i="5"/>
  <c r="B72" i="5"/>
  <c r="A72" i="5"/>
  <c r="D71" i="5"/>
  <c r="C71" i="5"/>
  <c r="B71" i="5"/>
  <c r="A71" i="5"/>
  <c r="D70" i="5"/>
  <c r="C70" i="5"/>
  <c r="B70" i="5"/>
  <c r="A70" i="5"/>
  <c r="D69" i="5"/>
  <c r="C69" i="5"/>
  <c r="B69" i="5"/>
  <c r="A69" i="5"/>
  <c r="D68" i="5"/>
  <c r="C68" i="5"/>
  <c r="B68" i="5"/>
  <c r="A68" i="5"/>
  <c r="D67" i="5"/>
  <c r="C67" i="5"/>
  <c r="B67" i="5"/>
  <c r="A67" i="5"/>
  <c r="D66" i="5"/>
  <c r="C66" i="5"/>
  <c r="B66" i="5"/>
  <c r="A66" i="5"/>
  <c r="D65" i="5"/>
  <c r="C65" i="5"/>
  <c r="B65" i="5"/>
  <c r="A65" i="5"/>
  <c r="D64" i="5"/>
  <c r="C64" i="5"/>
  <c r="B64" i="5"/>
  <c r="A64" i="5"/>
  <c r="D63" i="5"/>
  <c r="C63" i="5"/>
  <c r="B63" i="5"/>
  <c r="A63" i="5"/>
  <c r="D62" i="5"/>
  <c r="C62" i="5"/>
  <c r="B62" i="5"/>
  <c r="A62" i="5"/>
  <c r="D61" i="5"/>
  <c r="C61" i="5"/>
  <c r="B61" i="5"/>
  <c r="A61" i="5"/>
  <c r="D60" i="5"/>
  <c r="C60" i="5"/>
  <c r="B60" i="5"/>
  <c r="A60" i="5"/>
  <c r="D59" i="5"/>
  <c r="C59" i="5"/>
  <c r="B59" i="5"/>
  <c r="A59" i="5"/>
  <c r="D58" i="5"/>
  <c r="C58" i="5"/>
  <c r="B58" i="5"/>
  <c r="A58" i="5"/>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D6" i="5"/>
  <c r="C6" i="5"/>
  <c r="B6" i="5"/>
  <c r="A6" i="5"/>
  <c r="D5" i="5"/>
  <c r="C5" i="5"/>
  <c r="B5" i="5"/>
  <c r="A5" i="5"/>
  <c r="D4" i="5"/>
  <c r="C4" i="5"/>
  <c r="B4" i="5"/>
  <c r="A4" i="5"/>
  <c r="D3" i="5"/>
  <c r="C3" i="5"/>
  <c r="B3" i="5"/>
  <c r="A3" i="5"/>
  <c r="A1" i="5"/>
  <c r="D102" i="4"/>
  <c r="C102" i="4"/>
  <c r="B102" i="4"/>
  <c r="A102" i="4"/>
  <c r="D101" i="4"/>
  <c r="C101" i="4"/>
  <c r="B101" i="4"/>
  <c r="A101" i="4"/>
  <c r="D100" i="4"/>
  <c r="C100" i="4"/>
  <c r="B100" i="4"/>
  <c r="A100" i="4"/>
  <c r="D99" i="4"/>
  <c r="C99" i="4"/>
  <c r="B99" i="4"/>
  <c r="A99" i="4"/>
  <c r="D98" i="4"/>
  <c r="C98" i="4"/>
  <c r="B98" i="4"/>
  <c r="A98" i="4"/>
  <c r="D97" i="4"/>
  <c r="C97" i="4"/>
  <c r="B97" i="4"/>
  <c r="A97" i="4"/>
  <c r="D96" i="4"/>
  <c r="C96" i="4"/>
  <c r="B96" i="4"/>
  <c r="A96" i="4"/>
  <c r="D95" i="4"/>
  <c r="C95" i="4"/>
  <c r="B95" i="4"/>
  <c r="A95" i="4"/>
  <c r="D94" i="4"/>
  <c r="C94" i="4"/>
  <c r="B94" i="4"/>
  <c r="A94" i="4"/>
  <c r="D93" i="4"/>
  <c r="C93" i="4"/>
  <c r="B93" i="4"/>
  <c r="A93" i="4"/>
  <c r="D92" i="4"/>
  <c r="C92" i="4"/>
  <c r="B92" i="4"/>
  <c r="A92" i="4"/>
  <c r="D91" i="4"/>
  <c r="C91" i="4"/>
  <c r="B91" i="4"/>
  <c r="A91" i="4"/>
  <c r="D90" i="4"/>
  <c r="C90" i="4"/>
  <c r="B90" i="4"/>
  <c r="A90" i="4"/>
  <c r="D89" i="4"/>
  <c r="C89" i="4"/>
  <c r="B89" i="4"/>
  <c r="A89" i="4"/>
  <c r="D88" i="4"/>
  <c r="C88" i="4"/>
  <c r="B88" i="4"/>
  <c r="A88" i="4"/>
  <c r="D87" i="4"/>
  <c r="C87" i="4"/>
  <c r="B87" i="4"/>
  <c r="A87" i="4"/>
  <c r="D86" i="4"/>
  <c r="C86" i="4"/>
  <c r="B86" i="4"/>
  <c r="A86" i="4"/>
  <c r="D85" i="4"/>
  <c r="C85" i="4"/>
  <c r="B85" i="4"/>
  <c r="A85" i="4"/>
  <c r="D84" i="4"/>
  <c r="C84" i="4"/>
  <c r="B84" i="4"/>
  <c r="A84" i="4"/>
  <c r="D83" i="4"/>
  <c r="C83" i="4"/>
  <c r="B83" i="4"/>
  <c r="A83" i="4"/>
  <c r="D82" i="4"/>
  <c r="C82" i="4"/>
  <c r="B82" i="4"/>
  <c r="A82" i="4"/>
  <c r="D81" i="4"/>
  <c r="C81" i="4"/>
  <c r="B81" i="4"/>
  <c r="A81" i="4"/>
  <c r="D80" i="4"/>
  <c r="C80" i="4"/>
  <c r="B80" i="4"/>
  <c r="A80" i="4"/>
  <c r="D79" i="4"/>
  <c r="C79" i="4"/>
  <c r="B79" i="4"/>
  <c r="A79" i="4"/>
  <c r="D78" i="4"/>
  <c r="C78" i="4"/>
  <c r="B78" i="4"/>
  <c r="A78" i="4"/>
  <c r="D77" i="4"/>
  <c r="C77" i="4"/>
  <c r="B77" i="4"/>
  <c r="A77" i="4"/>
  <c r="D76" i="4"/>
  <c r="C76" i="4"/>
  <c r="B76" i="4"/>
  <c r="A76" i="4"/>
  <c r="D75" i="4"/>
  <c r="C75" i="4"/>
  <c r="B75" i="4"/>
  <c r="A75" i="4"/>
  <c r="D74" i="4"/>
  <c r="C74" i="4"/>
  <c r="B74" i="4"/>
  <c r="A74" i="4"/>
  <c r="D73" i="4"/>
  <c r="C73" i="4"/>
  <c r="B73" i="4"/>
  <c r="A73" i="4"/>
  <c r="D72" i="4"/>
  <c r="C72" i="4"/>
  <c r="B72" i="4"/>
  <c r="A72" i="4"/>
  <c r="D71" i="4"/>
  <c r="C71" i="4"/>
  <c r="B71" i="4"/>
  <c r="A71" i="4"/>
  <c r="D70" i="4"/>
  <c r="C70" i="4"/>
  <c r="B70" i="4"/>
  <c r="A70" i="4"/>
  <c r="D69" i="4"/>
  <c r="C69" i="4"/>
  <c r="B69" i="4"/>
  <c r="A69" i="4"/>
  <c r="D68" i="4"/>
  <c r="C68" i="4"/>
  <c r="B68" i="4"/>
  <c r="A68" i="4"/>
  <c r="D67" i="4"/>
  <c r="C67" i="4"/>
  <c r="B67" i="4"/>
  <c r="A67" i="4"/>
  <c r="D66" i="4"/>
  <c r="C66" i="4"/>
  <c r="B66" i="4"/>
  <c r="A66" i="4"/>
  <c r="D65" i="4"/>
  <c r="C65" i="4"/>
  <c r="B65" i="4"/>
  <c r="A65" i="4"/>
  <c r="D64" i="4"/>
  <c r="C64" i="4"/>
  <c r="B64" i="4"/>
  <c r="A64" i="4"/>
  <c r="D63" i="4"/>
  <c r="C63" i="4"/>
  <c r="B63" i="4"/>
  <c r="A63" i="4"/>
  <c r="D62" i="4"/>
  <c r="C62" i="4"/>
  <c r="B62" i="4"/>
  <c r="A62" i="4"/>
  <c r="D61" i="4"/>
  <c r="C61" i="4"/>
  <c r="B61" i="4"/>
  <c r="A61" i="4"/>
  <c r="D60" i="4"/>
  <c r="C60" i="4"/>
  <c r="B60" i="4"/>
  <c r="A60" i="4"/>
  <c r="D59" i="4"/>
  <c r="C59" i="4"/>
  <c r="B59" i="4"/>
  <c r="A59" i="4"/>
  <c r="D58" i="4"/>
  <c r="C58" i="4"/>
  <c r="B58" i="4"/>
  <c r="A58" i="4"/>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D41" i="4"/>
  <c r="C41" i="4"/>
  <c r="B41" i="4"/>
  <c r="A41" i="4"/>
  <c r="D40" i="4"/>
  <c r="C40" i="4"/>
  <c r="B40" i="4"/>
  <c r="A40" i="4"/>
  <c r="D39" i="4"/>
  <c r="C39" i="4"/>
  <c r="B39" i="4"/>
  <c r="A39" i="4"/>
  <c r="D38" i="4"/>
  <c r="C38" i="4"/>
  <c r="B38" i="4"/>
  <c r="A38" i="4"/>
  <c r="D37" i="4"/>
  <c r="C37" i="4"/>
  <c r="B37" i="4"/>
  <c r="A37" i="4"/>
  <c r="D36" i="4"/>
  <c r="C36" i="4"/>
  <c r="B36" i="4"/>
  <c r="A36" i="4"/>
  <c r="D35" i="4"/>
  <c r="C35" i="4"/>
  <c r="B35" i="4"/>
  <c r="A35" i="4"/>
  <c r="D34" i="4"/>
  <c r="C34" i="4"/>
  <c r="B34" i="4"/>
  <c r="A34" i="4"/>
  <c r="D33" i="4"/>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D7" i="4"/>
  <c r="C7" i="4"/>
  <c r="B7" i="4"/>
  <c r="A7" i="4"/>
  <c r="D6" i="4"/>
  <c r="C6" i="4"/>
  <c r="B6" i="4"/>
  <c r="A6" i="4"/>
  <c r="D5" i="4"/>
  <c r="C5" i="4"/>
  <c r="B5" i="4"/>
  <c r="A5" i="4"/>
  <c r="D4" i="4"/>
  <c r="C4" i="4"/>
  <c r="B4" i="4"/>
  <c r="A4" i="4"/>
  <c r="D3" i="4"/>
  <c r="C3" i="4"/>
  <c r="B3" i="4"/>
  <c r="A3" i="4"/>
  <c r="A1" i="4"/>
  <c r="L83" i="6"/>
  <c r="M83" i="6" s="1"/>
  <c r="L84" i="6"/>
  <c r="AF84" i="8" s="1"/>
  <c r="L85" i="6"/>
  <c r="AF85" i="8" s="1"/>
  <c r="L86" i="6"/>
  <c r="AF86" i="8" s="1"/>
  <c r="L87" i="6"/>
  <c r="AF87" i="8" s="1"/>
  <c r="L88" i="6"/>
  <c r="M88" i="6" s="1"/>
  <c r="L89" i="6"/>
  <c r="AF89" i="8" s="1"/>
  <c r="L90" i="6"/>
  <c r="AF90" i="8" s="1"/>
  <c r="L91" i="6"/>
  <c r="AF91" i="8" s="1"/>
  <c r="L92" i="6"/>
  <c r="AF92" i="8" s="1"/>
  <c r="L93" i="6"/>
  <c r="M93" i="6" s="1"/>
  <c r="L94" i="6"/>
  <c r="AF94" i="8" s="1"/>
  <c r="L95" i="6"/>
  <c r="AF95" i="8" s="1"/>
  <c r="L96" i="6"/>
  <c r="AF96" i="8" s="1"/>
  <c r="L97" i="6"/>
  <c r="AF97" i="8" s="1"/>
  <c r="L98" i="6"/>
  <c r="M98" i="6" s="1"/>
  <c r="L99" i="6"/>
  <c r="AF99" i="8" s="1"/>
  <c r="L100" i="6"/>
  <c r="AF100" i="8" s="1"/>
  <c r="L101" i="6"/>
  <c r="AF101" i="8" s="1"/>
  <c r="L102" i="6"/>
  <c r="AF102" i="8" s="1"/>
  <c r="D102" i="6"/>
  <c r="C102" i="6"/>
  <c r="B102" i="6"/>
  <c r="A102" i="6"/>
  <c r="D101" i="6"/>
  <c r="C101" i="6"/>
  <c r="B101" i="6"/>
  <c r="A101" i="6"/>
  <c r="D100" i="6"/>
  <c r="C100" i="6"/>
  <c r="B100" i="6"/>
  <c r="A100" i="6"/>
  <c r="D99" i="6"/>
  <c r="C99" i="6"/>
  <c r="B99" i="6"/>
  <c r="A99" i="6"/>
  <c r="D98" i="6"/>
  <c r="C98" i="6"/>
  <c r="B98" i="6"/>
  <c r="A98" i="6"/>
  <c r="D97" i="6"/>
  <c r="C97" i="6"/>
  <c r="B97" i="6"/>
  <c r="A97" i="6"/>
  <c r="D96" i="6"/>
  <c r="C96" i="6"/>
  <c r="B96" i="6"/>
  <c r="A96" i="6"/>
  <c r="D95" i="6"/>
  <c r="C95" i="6"/>
  <c r="B95" i="6"/>
  <c r="A95" i="6"/>
  <c r="D94" i="6"/>
  <c r="C94" i="6"/>
  <c r="B94" i="6"/>
  <c r="A94" i="6"/>
  <c r="D93" i="6"/>
  <c r="C93" i="6"/>
  <c r="B93" i="6"/>
  <c r="A93" i="6"/>
  <c r="D92" i="6"/>
  <c r="C92" i="6"/>
  <c r="B92" i="6"/>
  <c r="A92" i="6"/>
  <c r="D91" i="6"/>
  <c r="C91" i="6"/>
  <c r="B91" i="6"/>
  <c r="A91" i="6"/>
  <c r="D90" i="6"/>
  <c r="C90" i="6"/>
  <c r="B90" i="6"/>
  <c r="A90" i="6"/>
  <c r="D89" i="6"/>
  <c r="C89" i="6"/>
  <c r="B89" i="6"/>
  <c r="A89" i="6"/>
  <c r="D88" i="6"/>
  <c r="C88" i="6"/>
  <c r="B88" i="6"/>
  <c r="A88" i="6"/>
  <c r="D87" i="6"/>
  <c r="C87" i="6"/>
  <c r="B87" i="6"/>
  <c r="A87" i="6"/>
  <c r="D86" i="6"/>
  <c r="C86" i="6"/>
  <c r="B86" i="6"/>
  <c r="A86" i="6"/>
  <c r="D85" i="6"/>
  <c r="C85" i="6"/>
  <c r="B85" i="6"/>
  <c r="A85" i="6"/>
  <c r="D84" i="6"/>
  <c r="C84" i="6"/>
  <c r="B84" i="6"/>
  <c r="A84" i="6"/>
  <c r="D83" i="6"/>
  <c r="C83" i="6"/>
  <c r="B83" i="6"/>
  <c r="A83" i="6"/>
  <c r="D82" i="6"/>
  <c r="C82" i="6"/>
  <c r="B82" i="6"/>
  <c r="A82" i="6"/>
  <c r="D81" i="6"/>
  <c r="C81" i="6"/>
  <c r="B81" i="6"/>
  <c r="A81" i="6"/>
  <c r="D80" i="6"/>
  <c r="C80" i="6"/>
  <c r="B80" i="6"/>
  <c r="A80" i="6"/>
  <c r="D79" i="6"/>
  <c r="C79" i="6"/>
  <c r="B79" i="6"/>
  <c r="A79" i="6"/>
  <c r="D78" i="6"/>
  <c r="C78" i="6"/>
  <c r="B78" i="6"/>
  <c r="A78" i="6"/>
  <c r="D77" i="6"/>
  <c r="C77" i="6"/>
  <c r="B77" i="6"/>
  <c r="A77" i="6"/>
  <c r="D76" i="6"/>
  <c r="C76" i="6"/>
  <c r="B76" i="6"/>
  <c r="A76" i="6"/>
  <c r="D75" i="6"/>
  <c r="C75" i="6"/>
  <c r="B75" i="6"/>
  <c r="A75" i="6"/>
  <c r="D74" i="6"/>
  <c r="C74" i="6"/>
  <c r="B74" i="6"/>
  <c r="A74" i="6"/>
  <c r="D73" i="6"/>
  <c r="C73" i="6"/>
  <c r="B73" i="6"/>
  <c r="A73" i="6"/>
  <c r="D72" i="6"/>
  <c r="C72" i="6"/>
  <c r="B72" i="6"/>
  <c r="A72" i="6"/>
  <c r="D71" i="6"/>
  <c r="C71" i="6"/>
  <c r="B71" i="6"/>
  <c r="A71" i="6"/>
  <c r="D70" i="6"/>
  <c r="C70" i="6"/>
  <c r="B70" i="6"/>
  <c r="A70" i="6"/>
  <c r="D69" i="6"/>
  <c r="C69" i="6"/>
  <c r="B69" i="6"/>
  <c r="A69" i="6"/>
  <c r="D68" i="6"/>
  <c r="C68" i="6"/>
  <c r="B68" i="6"/>
  <c r="A68" i="6"/>
  <c r="D67" i="6"/>
  <c r="C67" i="6"/>
  <c r="B67" i="6"/>
  <c r="A67" i="6"/>
  <c r="D66" i="6"/>
  <c r="C66" i="6"/>
  <c r="B66" i="6"/>
  <c r="A66" i="6"/>
  <c r="D65" i="6"/>
  <c r="C65" i="6"/>
  <c r="B65" i="6"/>
  <c r="A65" i="6"/>
  <c r="D64" i="6"/>
  <c r="C64" i="6"/>
  <c r="B64" i="6"/>
  <c r="A64" i="6"/>
  <c r="D63" i="6"/>
  <c r="C63" i="6"/>
  <c r="B63" i="6"/>
  <c r="A63" i="6"/>
  <c r="D62" i="6"/>
  <c r="C62" i="6"/>
  <c r="B62" i="6"/>
  <c r="A62" i="6"/>
  <c r="D61" i="6"/>
  <c r="C61" i="6"/>
  <c r="B61" i="6"/>
  <c r="A61" i="6"/>
  <c r="D60" i="6"/>
  <c r="C60" i="6"/>
  <c r="B60" i="6"/>
  <c r="A60" i="6"/>
  <c r="D59" i="6"/>
  <c r="C59" i="6"/>
  <c r="B59" i="6"/>
  <c r="A59" i="6"/>
  <c r="D58" i="6"/>
  <c r="C58" i="6"/>
  <c r="B58" i="6"/>
  <c r="A58" i="6"/>
  <c r="D57" i="6"/>
  <c r="C57" i="6"/>
  <c r="B57" i="6"/>
  <c r="A57" i="6"/>
  <c r="D56" i="6"/>
  <c r="C56" i="6"/>
  <c r="B56" i="6"/>
  <c r="A56" i="6"/>
  <c r="D55" i="6"/>
  <c r="C55" i="6"/>
  <c r="B55" i="6"/>
  <c r="A55" i="6"/>
  <c r="D54" i="6"/>
  <c r="C54" i="6"/>
  <c r="B54" i="6"/>
  <c r="A54" i="6"/>
  <c r="D53" i="6"/>
  <c r="C53" i="6"/>
  <c r="B53" i="6"/>
  <c r="A53" i="6"/>
  <c r="D52" i="6"/>
  <c r="C52" i="6"/>
  <c r="B52" i="6"/>
  <c r="A52" i="6"/>
  <c r="D51" i="6"/>
  <c r="C51" i="6"/>
  <c r="B51" i="6"/>
  <c r="A51" i="6"/>
  <c r="D50" i="6"/>
  <c r="C50" i="6"/>
  <c r="B50" i="6"/>
  <c r="A50" i="6"/>
  <c r="D49" i="6"/>
  <c r="C49" i="6"/>
  <c r="B49" i="6"/>
  <c r="A49" i="6"/>
  <c r="D48" i="6"/>
  <c r="C48" i="6"/>
  <c r="B48" i="6"/>
  <c r="A48" i="6"/>
  <c r="D47" i="6"/>
  <c r="C47" i="6"/>
  <c r="B47" i="6"/>
  <c r="A47" i="6"/>
  <c r="D46" i="6"/>
  <c r="C46" i="6"/>
  <c r="B46" i="6"/>
  <c r="A46" i="6"/>
  <c r="D45" i="6"/>
  <c r="C45" i="6"/>
  <c r="B45" i="6"/>
  <c r="A45" i="6"/>
  <c r="D44" i="6"/>
  <c r="C44" i="6"/>
  <c r="B44" i="6"/>
  <c r="A44" i="6"/>
  <c r="D43" i="6"/>
  <c r="C43" i="6"/>
  <c r="B43" i="6"/>
  <c r="A43" i="6"/>
  <c r="D42" i="6"/>
  <c r="C42" i="6"/>
  <c r="B42" i="6"/>
  <c r="A42" i="6"/>
  <c r="D41" i="6"/>
  <c r="C41" i="6"/>
  <c r="B41" i="6"/>
  <c r="A41" i="6"/>
  <c r="D40" i="6"/>
  <c r="C40" i="6"/>
  <c r="B40" i="6"/>
  <c r="A40" i="6"/>
  <c r="D39" i="6"/>
  <c r="C39" i="6"/>
  <c r="B39" i="6"/>
  <c r="A39" i="6"/>
  <c r="D38" i="6"/>
  <c r="C38" i="6"/>
  <c r="B38" i="6"/>
  <c r="A38" i="6"/>
  <c r="D37" i="6"/>
  <c r="C37" i="6"/>
  <c r="B37" i="6"/>
  <c r="A37" i="6"/>
  <c r="D36" i="6"/>
  <c r="C36" i="6"/>
  <c r="B36" i="6"/>
  <c r="A36" i="6"/>
  <c r="D35" i="6"/>
  <c r="C35" i="6"/>
  <c r="B35" i="6"/>
  <c r="A35" i="6"/>
  <c r="D34" i="6"/>
  <c r="C34" i="6"/>
  <c r="B34" i="6"/>
  <c r="A34" i="6"/>
  <c r="D33" i="6"/>
  <c r="C33" i="6"/>
  <c r="B33" i="6"/>
  <c r="A33" i="6"/>
  <c r="D32" i="6"/>
  <c r="C32" i="6"/>
  <c r="B32" i="6"/>
  <c r="A32" i="6"/>
  <c r="D31" i="6"/>
  <c r="C31" i="6"/>
  <c r="B31" i="6"/>
  <c r="A31" i="6"/>
  <c r="D30" i="6"/>
  <c r="C30" i="6"/>
  <c r="B30" i="6"/>
  <c r="A30" i="6"/>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B12" i="6"/>
  <c r="A12" i="6"/>
  <c r="D11" i="6"/>
  <c r="C11" i="6"/>
  <c r="B11" i="6"/>
  <c r="A11" i="6"/>
  <c r="D10" i="6"/>
  <c r="C10" i="6"/>
  <c r="B10" i="6"/>
  <c r="A10" i="6"/>
  <c r="D9" i="6"/>
  <c r="C9" i="6"/>
  <c r="B9" i="6"/>
  <c r="A9" i="6"/>
  <c r="D8" i="6"/>
  <c r="C8" i="6"/>
  <c r="B8" i="6"/>
  <c r="A8" i="6"/>
  <c r="D7" i="6"/>
  <c r="C7" i="6"/>
  <c r="B7" i="6"/>
  <c r="A7" i="6"/>
  <c r="D6" i="6"/>
  <c r="C6" i="6"/>
  <c r="B6" i="6"/>
  <c r="A6" i="6"/>
  <c r="D5" i="6"/>
  <c r="C5" i="6"/>
  <c r="B5" i="6"/>
  <c r="A5" i="6"/>
  <c r="D4" i="6"/>
  <c r="C4" i="6"/>
  <c r="B4" i="6"/>
  <c r="A4" i="6"/>
  <c r="D3" i="6"/>
  <c r="C3" i="6"/>
  <c r="B3" i="6"/>
  <c r="A3" i="6"/>
  <c r="A1" i="6"/>
  <c r="M83" i="3"/>
  <c r="V83" i="3" s="1"/>
  <c r="S83" i="3"/>
  <c r="W83" i="3" s="1"/>
  <c r="M84" i="3"/>
  <c r="V84" i="3" s="1"/>
  <c r="X84" i="3" s="1"/>
  <c r="S84" i="3"/>
  <c r="W84" i="3" s="1"/>
  <c r="M85" i="3"/>
  <c r="S85" i="3"/>
  <c r="W85" i="3" s="1"/>
  <c r="V85" i="3"/>
  <c r="X85" i="3" s="1"/>
  <c r="M86" i="3"/>
  <c r="V86" i="3" s="1"/>
  <c r="X86" i="3" s="1"/>
  <c r="S86" i="3"/>
  <c r="W86" i="3" s="1"/>
  <c r="M87" i="3"/>
  <c r="S87" i="3"/>
  <c r="W87" i="3" s="1"/>
  <c r="V87" i="3"/>
  <c r="X87" i="3" s="1"/>
  <c r="M88" i="3"/>
  <c r="V88" i="3" s="1"/>
  <c r="X88" i="3" s="1"/>
  <c r="Y88" i="3" s="1"/>
  <c r="S88" i="3"/>
  <c r="W88" i="3" s="1"/>
  <c r="M89" i="3"/>
  <c r="V89" i="3" s="1"/>
  <c r="S89" i="3"/>
  <c r="W89" i="3" s="1"/>
  <c r="M90" i="3"/>
  <c r="V90" i="3" s="1"/>
  <c r="X90" i="3" s="1"/>
  <c r="S90" i="3"/>
  <c r="W90" i="3" s="1"/>
  <c r="M91" i="3"/>
  <c r="V91" i="3" s="1"/>
  <c r="S91" i="3"/>
  <c r="W91" i="3" s="1"/>
  <c r="M92" i="3"/>
  <c r="V92" i="3" s="1"/>
  <c r="X92" i="3" s="1"/>
  <c r="S92" i="3"/>
  <c r="W92" i="3" s="1"/>
  <c r="M93" i="3"/>
  <c r="V93" i="3" s="1"/>
  <c r="S93" i="3"/>
  <c r="W93" i="3" s="1"/>
  <c r="M94" i="3"/>
  <c r="V94" i="3" s="1"/>
  <c r="X94" i="3" s="1"/>
  <c r="S94" i="3"/>
  <c r="W94" i="3" s="1"/>
  <c r="M95" i="3"/>
  <c r="S95" i="3"/>
  <c r="W95" i="3" s="1"/>
  <c r="V95" i="3"/>
  <c r="X95" i="3" s="1"/>
  <c r="M96" i="3"/>
  <c r="V96" i="3" s="1"/>
  <c r="X96" i="3" s="1"/>
  <c r="S96" i="3"/>
  <c r="W96" i="3" s="1"/>
  <c r="M97" i="3"/>
  <c r="V97" i="3" s="1"/>
  <c r="S97" i="3"/>
  <c r="W97" i="3" s="1"/>
  <c r="M98" i="3"/>
  <c r="V98" i="3" s="1"/>
  <c r="X98" i="3" s="1"/>
  <c r="Y98" i="3" s="1"/>
  <c r="S98" i="3"/>
  <c r="W98" i="3" s="1"/>
  <c r="M99" i="3"/>
  <c r="V99" i="3" s="1"/>
  <c r="S99" i="3"/>
  <c r="W99" i="3" s="1"/>
  <c r="M100" i="3"/>
  <c r="V100" i="3" s="1"/>
  <c r="X100" i="3" s="1"/>
  <c r="S100" i="3"/>
  <c r="W100" i="3" s="1"/>
  <c r="M101" i="3"/>
  <c r="V101" i="3" s="1"/>
  <c r="S101" i="3"/>
  <c r="W101" i="3" s="1"/>
  <c r="M102" i="3"/>
  <c r="V102" i="3" s="1"/>
  <c r="X102" i="3" s="1"/>
  <c r="S102" i="3"/>
  <c r="W102" i="3" s="1"/>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B99" i="3"/>
  <c r="B100" i="3"/>
  <c r="B101" i="3"/>
  <c r="B102" i="3"/>
  <c r="B98" i="3"/>
  <c r="B94" i="3"/>
  <c r="B95" i="3"/>
  <c r="B96" i="3"/>
  <c r="B97" i="3"/>
  <c r="B93" i="3"/>
  <c r="B89" i="3"/>
  <c r="B90" i="3"/>
  <c r="B91" i="3"/>
  <c r="B92" i="3"/>
  <c r="B88" i="3"/>
  <c r="B84" i="3"/>
  <c r="B85" i="3"/>
  <c r="B86" i="3"/>
  <c r="B87" i="3"/>
  <c r="B83" i="3"/>
  <c r="B79" i="3"/>
  <c r="B80" i="3"/>
  <c r="B81" i="3"/>
  <c r="B82" i="3"/>
  <c r="B78" i="3"/>
  <c r="B74" i="3"/>
  <c r="B75" i="3"/>
  <c r="B76" i="3"/>
  <c r="B77" i="3"/>
  <c r="B73" i="3"/>
  <c r="B69" i="3"/>
  <c r="B70" i="3"/>
  <c r="B71" i="3"/>
  <c r="B72" i="3"/>
  <c r="B68" i="3"/>
  <c r="B64" i="3"/>
  <c r="B65" i="3"/>
  <c r="B66" i="3"/>
  <c r="B67" i="3"/>
  <c r="B63" i="3"/>
  <c r="B59" i="3"/>
  <c r="B60" i="3"/>
  <c r="B61" i="3"/>
  <c r="B62" i="3"/>
  <c r="B58" i="3"/>
  <c r="B54" i="3"/>
  <c r="B55" i="3"/>
  <c r="B56" i="3"/>
  <c r="B57" i="3"/>
  <c r="B53" i="3"/>
  <c r="B49" i="3"/>
  <c r="B50" i="3"/>
  <c r="B51" i="3"/>
  <c r="B52" i="3"/>
  <c r="B48" i="3"/>
  <c r="B44" i="3"/>
  <c r="B45" i="3"/>
  <c r="B46" i="3"/>
  <c r="B47" i="3"/>
  <c r="B43" i="3"/>
  <c r="B39" i="3"/>
  <c r="B40" i="3"/>
  <c r="B41" i="3"/>
  <c r="B42" i="3"/>
  <c r="B38" i="3"/>
  <c r="B34" i="3"/>
  <c r="B35" i="3"/>
  <c r="B36" i="3"/>
  <c r="B37" i="3"/>
  <c r="B33" i="3"/>
  <c r="B29" i="3"/>
  <c r="B30" i="3"/>
  <c r="B31" i="3"/>
  <c r="B32" i="3"/>
  <c r="B28" i="3"/>
  <c r="B24" i="3"/>
  <c r="B25" i="3"/>
  <c r="B26" i="3"/>
  <c r="B27" i="3"/>
  <c r="B23" i="3"/>
  <c r="B19" i="3"/>
  <c r="B20" i="3"/>
  <c r="B21" i="3"/>
  <c r="B22" i="3"/>
  <c r="B18" i="3"/>
  <c r="B14" i="3"/>
  <c r="B15" i="3"/>
  <c r="B16" i="3"/>
  <c r="B17" i="3"/>
  <c r="B13" i="3"/>
  <c r="B9" i="3"/>
  <c r="B10" i="3"/>
  <c r="B11" i="3"/>
  <c r="B12" i="3"/>
  <c r="B8" i="3"/>
  <c r="B6"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B7" i="3"/>
  <c r="A17" i="3"/>
  <c r="A16" i="3"/>
  <c r="A15" i="3"/>
  <c r="A14" i="3"/>
  <c r="A13" i="3"/>
  <c r="A12" i="3"/>
  <c r="A11" i="3"/>
  <c r="A8" i="3"/>
  <c r="A7" i="3"/>
  <c r="Q160" i="2"/>
  <c r="R160" i="2" s="1"/>
  <c r="AO102" i="8" s="1"/>
  <c r="L160" i="2"/>
  <c r="Q159" i="2"/>
  <c r="Q158" i="2"/>
  <c r="Q157" i="2"/>
  <c r="Q156" i="2"/>
  <c r="Q152" i="2"/>
  <c r="AN97" i="8" s="1"/>
  <c r="L152" i="2"/>
  <c r="Q151" i="2"/>
  <c r="Q150" i="2"/>
  <c r="Q149" i="2"/>
  <c r="Q148" i="2"/>
  <c r="Q144" i="2"/>
  <c r="AN92" i="8" s="1"/>
  <c r="L144" i="2"/>
  <c r="Q143" i="2"/>
  <c r="Q142" i="2"/>
  <c r="Q141" i="2"/>
  <c r="Q140" i="2"/>
  <c r="Q136" i="2"/>
  <c r="R136" i="2" s="1"/>
  <c r="AO87" i="8" s="1"/>
  <c r="L136" i="2"/>
  <c r="Q135" i="2"/>
  <c r="R134" i="2"/>
  <c r="AO85" i="8" s="1"/>
  <c r="Q134" i="2"/>
  <c r="Q133" i="2"/>
  <c r="Q132" i="2"/>
  <c r="Q128" i="2"/>
  <c r="R128" i="2" s="1"/>
  <c r="AO82" i="8" s="1"/>
  <c r="L128" i="2"/>
  <c r="Q127" i="2"/>
  <c r="Q126" i="2"/>
  <c r="Q125" i="2"/>
  <c r="Q124" i="2"/>
  <c r="Q120" i="2"/>
  <c r="R120" i="2" s="1"/>
  <c r="AO77" i="8" s="1"/>
  <c r="L120" i="2"/>
  <c r="R119" i="2"/>
  <c r="AO76" i="8" s="1"/>
  <c r="Q119" i="2"/>
  <c r="Q118" i="2"/>
  <c r="Q117" i="2"/>
  <c r="Q116" i="2"/>
  <c r="Q112" i="2"/>
  <c r="R112" i="2" s="1"/>
  <c r="AO72" i="8" s="1"/>
  <c r="L112" i="2"/>
  <c r="Q111" i="2"/>
  <c r="Q110" i="2"/>
  <c r="Q109" i="2"/>
  <c r="Q108" i="2"/>
  <c r="Q104" i="2"/>
  <c r="R104" i="2" s="1"/>
  <c r="AO67" i="8" s="1"/>
  <c r="L104" i="2"/>
  <c r="Q103" i="2"/>
  <c r="Q102" i="2"/>
  <c r="Q101" i="2"/>
  <c r="Q100" i="2"/>
  <c r="Q96" i="2"/>
  <c r="R96" i="2" s="1"/>
  <c r="AO62" i="8" s="1"/>
  <c r="L96" i="2"/>
  <c r="Q95" i="2"/>
  <c r="Q94" i="2"/>
  <c r="Q93" i="2"/>
  <c r="Q92" i="2"/>
  <c r="Q88" i="2"/>
  <c r="R88" i="2" s="1"/>
  <c r="AO57" i="8" s="1"/>
  <c r="L88" i="2"/>
  <c r="Q87" i="2"/>
  <c r="Q86" i="2"/>
  <c r="Q85" i="2"/>
  <c r="Q84" i="2"/>
  <c r="Q80" i="2"/>
  <c r="R80" i="2" s="1"/>
  <c r="AO52" i="8" s="1"/>
  <c r="L80" i="2"/>
  <c r="Q79" i="2"/>
  <c r="Q78" i="2"/>
  <c r="Q77" i="2"/>
  <c r="Q76" i="2"/>
  <c r="Q72" i="2"/>
  <c r="R72" i="2" s="1"/>
  <c r="AO47" i="8" s="1"/>
  <c r="L72" i="2"/>
  <c r="Q71" i="2"/>
  <c r="Q70" i="2"/>
  <c r="Q69" i="2"/>
  <c r="Q68" i="2"/>
  <c r="Q64" i="2"/>
  <c r="R64" i="2" s="1"/>
  <c r="AO42" i="8" s="1"/>
  <c r="L64" i="2"/>
  <c r="Q63" i="2"/>
  <c r="Q62" i="2"/>
  <c r="Q61" i="2"/>
  <c r="Q60" i="2"/>
  <c r="Q56" i="2"/>
  <c r="R56" i="2" s="1"/>
  <c r="AO37" i="8" s="1"/>
  <c r="L56" i="2"/>
  <c r="Q55" i="2"/>
  <c r="Q54" i="2"/>
  <c r="Q53" i="2"/>
  <c r="Q52" i="2"/>
  <c r="Q48" i="2"/>
  <c r="AN32" i="8" s="1"/>
  <c r="L48" i="2"/>
  <c r="Q47" i="2"/>
  <c r="Q46" i="2"/>
  <c r="Q45" i="2"/>
  <c r="Q44" i="2"/>
  <c r="Q40" i="2"/>
  <c r="R40" i="2" s="1"/>
  <c r="AO27" i="8" s="1"/>
  <c r="L40" i="2"/>
  <c r="Q39" i="2"/>
  <c r="Q38" i="2"/>
  <c r="Q37" i="2"/>
  <c r="Q36" i="2"/>
  <c r="Q32" i="2"/>
  <c r="L32" i="2"/>
  <c r="Q31" i="2"/>
  <c r="Q30" i="2"/>
  <c r="AN20" i="8" s="1"/>
  <c r="Q29" i="2"/>
  <c r="R29" i="2" s="1"/>
  <c r="AO19" i="8" s="1"/>
  <c r="Q28" i="2"/>
  <c r="R28" i="2" s="1"/>
  <c r="AO18" i="8" s="1"/>
  <c r="L24" i="2"/>
  <c r="Q24" i="2" s="1"/>
  <c r="R24" i="2" s="1"/>
  <c r="AO17" i="8" s="1"/>
  <c r="Q23" i="2"/>
  <c r="Q22" i="2"/>
  <c r="Q21" i="2"/>
  <c r="Q20" i="2"/>
  <c r="L16" i="2"/>
  <c r="Q16" i="2" s="1"/>
  <c r="Q15" i="2"/>
  <c r="R15" i="2" s="1"/>
  <c r="Q14" i="2"/>
  <c r="R14" i="2" s="1"/>
  <c r="AO10" i="8" s="1"/>
  <c r="Q13" i="2"/>
  <c r="R13" i="2" s="1"/>
  <c r="AO9" i="8" s="1"/>
  <c r="Q12" i="2"/>
  <c r="R12" i="2" s="1"/>
  <c r="AO8" i="8" s="1"/>
  <c r="L8" i="2"/>
  <c r="Q8" i="2" s="1"/>
  <c r="X91" i="3" l="1"/>
  <c r="AE91" i="8"/>
  <c r="AI91" i="8" s="1"/>
  <c r="X83" i="3"/>
  <c r="Y83" i="3" s="1"/>
  <c r="AE83" i="8"/>
  <c r="AI83" i="8" s="1"/>
  <c r="AR83" i="8" s="1"/>
  <c r="X93" i="3"/>
  <c r="Y93" i="3" s="1"/>
  <c r="AE93" i="8"/>
  <c r="AI93" i="8" s="1"/>
  <c r="X89" i="3"/>
  <c r="AE89" i="8"/>
  <c r="AI89" i="8" s="1"/>
  <c r="AR89" i="8" s="1"/>
  <c r="X101" i="3"/>
  <c r="AE101" i="8"/>
  <c r="AI101" i="8" s="1"/>
  <c r="X99" i="3"/>
  <c r="AE99" i="8"/>
  <c r="AI99" i="8" s="1"/>
  <c r="AR99" i="8" s="1"/>
  <c r="AN65" i="8"/>
  <c r="S102" i="2"/>
  <c r="R142" i="2"/>
  <c r="AO90" i="8" s="1"/>
  <c r="S142" i="2"/>
  <c r="R39" i="2"/>
  <c r="AO26" i="8" s="1"/>
  <c r="S39" i="2"/>
  <c r="AN39" i="8"/>
  <c r="S61" i="2"/>
  <c r="R71" i="2"/>
  <c r="AO46" i="8" s="1"/>
  <c r="S71" i="2"/>
  <c r="R93" i="2"/>
  <c r="AO59" i="8" s="1"/>
  <c r="S93" i="2"/>
  <c r="R103" i="2"/>
  <c r="AO66" i="8" s="1"/>
  <c r="S103" i="2"/>
  <c r="R124" i="2"/>
  <c r="S124" i="2"/>
  <c r="AN85" i="8"/>
  <c r="S134" i="2"/>
  <c r="R143" i="2"/>
  <c r="AO91" i="8" s="1"/>
  <c r="S143" i="2"/>
  <c r="AE98" i="8"/>
  <c r="AI98" i="8" s="1"/>
  <c r="AG93" i="8"/>
  <c r="AH88" i="8"/>
  <c r="R38" i="2"/>
  <c r="AO25" i="8" s="1"/>
  <c r="S38" i="2"/>
  <c r="R92" i="2"/>
  <c r="S92" i="2"/>
  <c r="AH93" i="8"/>
  <c r="R52" i="2"/>
  <c r="S52" i="2"/>
  <c r="R62" i="2"/>
  <c r="AO40" i="8" s="1"/>
  <c r="S62" i="2"/>
  <c r="R84" i="2"/>
  <c r="S84" i="2"/>
  <c r="R94" i="2"/>
  <c r="AO60" i="8" s="1"/>
  <c r="S94" i="2"/>
  <c r="R116" i="2"/>
  <c r="S116" i="2"/>
  <c r="R125" i="2"/>
  <c r="AO79" i="8" s="1"/>
  <c r="S125" i="2"/>
  <c r="R156" i="2"/>
  <c r="S156" i="2"/>
  <c r="AF93" i="8"/>
  <c r="AG88" i="8"/>
  <c r="AE84" i="8"/>
  <c r="AI84" i="8" s="1"/>
  <c r="AN45" i="8"/>
  <c r="S70" i="2"/>
  <c r="R133" i="2"/>
  <c r="AO84" i="8" s="1"/>
  <c r="S133" i="2"/>
  <c r="R20" i="2"/>
  <c r="S20" i="2"/>
  <c r="R53" i="2"/>
  <c r="AO34" i="8" s="1"/>
  <c r="S53" i="2"/>
  <c r="AN41" i="8"/>
  <c r="S63" i="2"/>
  <c r="R85" i="2"/>
  <c r="AO54" i="8" s="1"/>
  <c r="S85" i="2"/>
  <c r="AN61" i="8"/>
  <c r="S95" i="2"/>
  <c r="AN74" i="8"/>
  <c r="S117" i="2"/>
  <c r="AN80" i="8"/>
  <c r="S126" i="2"/>
  <c r="R135" i="2"/>
  <c r="AO86" i="8" s="1"/>
  <c r="S135" i="2"/>
  <c r="AN99" i="8"/>
  <c r="S157" i="2"/>
  <c r="AE95" i="8"/>
  <c r="AI95" i="8" s="1"/>
  <c r="AR95" i="8" s="1"/>
  <c r="D95" i="8" s="1"/>
  <c r="C95" i="8" s="1"/>
  <c r="AE90" i="8"/>
  <c r="AI90" i="8" s="1"/>
  <c r="AF88" i="8"/>
  <c r="AH83" i="8"/>
  <c r="R21" i="2"/>
  <c r="AO14" i="8" s="1"/>
  <c r="S21" i="2"/>
  <c r="R44" i="2"/>
  <c r="S44" i="2"/>
  <c r="R54" i="2"/>
  <c r="AO35" i="8" s="1"/>
  <c r="S54" i="2"/>
  <c r="R76" i="2"/>
  <c r="S76" i="2"/>
  <c r="AN55" i="8"/>
  <c r="S86" i="2"/>
  <c r="R108" i="2"/>
  <c r="S108" i="2"/>
  <c r="R118" i="2"/>
  <c r="AO75" i="8" s="1"/>
  <c r="S118" i="2"/>
  <c r="R127" i="2"/>
  <c r="AO81" i="8" s="1"/>
  <c r="S127" i="2"/>
  <c r="R148" i="2"/>
  <c r="S148" i="2"/>
  <c r="R158" i="2"/>
  <c r="AO100" i="8" s="1"/>
  <c r="S158" i="2"/>
  <c r="AE88" i="8"/>
  <c r="AI88" i="8" s="1"/>
  <c r="AL88" i="8" s="1"/>
  <c r="AG83" i="8"/>
  <c r="R60" i="2"/>
  <c r="S60" i="2"/>
  <c r="R22" i="2"/>
  <c r="AO15" i="8" s="1"/>
  <c r="S22" i="2"/>
  <c r="R45" i="2"/>
  <c r="AO29" i="8" s="1"/>
  <c r="S45" i="2"/>
  <c r="R55" i="2"/>
  <c r="AO36" i="8" s="1"/>
  <c r="S55" i="2"/>
  <c r="AN49" i="8"/>
  <c r="S77" i="2"/>
  <c r="R87" i="2"/>
  <c r="AO56" i="8" s="1"/>
  <c r="S87" i="2"/>
  <c r="R109" i="2"/>
  <c r="AO69" i="8" s="1"/>
  <c r="S109" i="2"/>
  <c r="AN76" i="8"/>
  <c r="S119" i="2"/>
  <c r="R149" i="2"/>
  <c r="AO94" i="8" s="1"/>
  <c r="S149" i="2"/>
  <c r="AN101" i="8"/>
  <c r="S159" i="2"/>
  <c r="AE85" i="8"/>
  <c r="AI85" i="8" s="1"/>
  <c r="AF83" i="8"/>
  <c r="AN16" i="8"/>
  <c r="S23" i="2"/>
  <c r="R36" i="2"/>
  <c r="S36" i="2"/>
  <c r="R46" i="2"/>
  <c r="AO30" i="8" s="1"/>
  <c r="S46" i="2"/>
  <c r="R68" i="2"/>
  <c r="S68" i="2"/>
  <c r="R78" i="2"/>
  <c r="AO50" i="8" s="1"/>
  <c r="S78" i="2"/>
  <c r="R100" i="2"/>
  <c r="S100" i="2"/>
  <c r="R110" i="2"/>
  <c r="AO70" i="8" s="1"/>
  <c r="S110" i="2"/>
  <c r="R140" i="2"/>
  <c r="S140" i="2"/>
  <c r="R150" i="2"/>
  <c r="AO95" i="8" s="1"/>
  <c r="S150" i="2"/>
  <c r="AH98" i="8"/>
  <c r="AE96" i="8"/>
  <c r="AI96" i="8" s="1"/>
  <c r="R37" i="2"/>
  <c r="AO24" i="8" s="1"/>
  <c r="S37" i="2"/>
  <c r="R47" i="2"/>
  <c r="AO31" i="8" s="1"/>
  <c r="S47" i="2"/>
  <c r="R69" i="2"/>
  <c r="AO44" i="8" s="1"/>
  <c r="S69" i="2"/>
  <c r="R79" i="2"/>
  <c r="AO51" i="8" s="1"/>
  <c r="S79" i="2"/>
  <c r="R101" i="2"/>
  <c r="AO64" i="8" s="1"/>
  <c r="S101" i="2"/>
  <c r="R111" i="2"/>
  <c r="AO71" i="8" s="1"/>
  <c r="S111" i="2"/>
  <c r="R132" i="2"/>
  <c r="S132" i="2"/>
  <c r="R141" i="2"/>
  <c r="AO89" i="8" s="1"/>
  <c r="S141" i="2"/>
  <c r="R151" i="2"/>
  <c r="AO96" i="8" s="1"/>
  <c r="S151" i="2"/>
  <c r="AG98" i="8"/>
  <c r="AE94" i="8"/>
  <c r="AI94" i="8" s="1"/>
  <c r="R32" i="2"/>
  <c r="AO22" i="8" s="1"/>
  <c r="S30" i="2"/>
  <c r="S29" i="2"/>
  <c r="S28" i="2"/>
  <c r="R31" i="2"/>
  <c r="S31" i="2"/>
  <c r="R8" i="2"/>
  <c r="AO7" i="8" s="1"/>
  <c r="R16" i="2"/>
  <c r="AO12" i="8" s="1"/>
  <c r="S14" i="2"/>
  <c r="S15" i="2"/>
  <c r="S12" i="2"/>
  <c r="S13" i="2"/>
  <c r="AN46" i="8"/>
  <c r="R77" i="2"/>
  <c r="AO49" i="8" s="1"/>
  <c r="R86" i="2"/>
  <c r="AO55" i="8" s="1"/>
  <c r="AN18" i="8"/>
  <c r="R63" i="2"/>
  <c r="AO41" i="8" s="1"/>
  <c r="R102" i="2"/>
  <c r="AO65" i="8" s="1"/>
  <c r="R117" i="2"/>
  <c r="AO74" i="8" s="1"/>
  <c r="R159" i="2"/>
  <c r="AO101" i="8" s="1"/>
  <c r="AN30" i="8"/>
  <c r="AN54" i="8"/>
  <c r="AN78" i="8"/>
  <c r="AN102" i="8"/>
  <c r="AN98" i="8"/>
  <c r="R23" i="2"/>
  <c r="AO16" i="8" s="1"/>
  <c r="R61" i="2"/>
  <c r="AO39" i="8" s="1"/>
  <c r="R157" i="2"/>
  <c r="AO99" i="8" s="1"/>
  <c r="AN8" i="8"/>
  <c r="AN38" i="8"/>
  <c r="AN62" i="8"/>
  <c r="AN86" i="8"/>
  <c r="AN14" i="8"/>
  <c r="AN42" i="8"/>
  <c r="AN70" i="8"/>
  <c r="AN90" i="8"/>
  <c r="AN26" i="8"/>
  <c r="R70" i="2"/>
  <c r="AO45" i="8" s="1"/>
  <c r="R95" i="2"/>
  <c r="AO61" i="8" s="1"/>
  <c r="R126" i="2"/>
  <c r="AO80" i="8" s="1"/>
  <c r="R152" i="2"/>
  <c r="AO97" i="8" s="1"/>
  <c r="AN9" i="8"/>
  <c r="AN15" i="8"/>
  <c r="AN19" i="8"/>
  <c r="AN23" i="8"/>
  <c r="AN27" i="8"/>
  <c r="AN31" i="8"/>
  <c r="AN35" i="8"/>
  <c r="AN43" i="8"/>
  <c r="AN47" i="8"/>
  <c r="AN51" i="8"/>
  <c r="AN59" i="8"/>
  <c r="AN63" i="8"/>
  <c r="AN67" i="8"/>
  <c r="AN71" i="8"/>
  <c r="AN75" i="8"/>
  <c r="AN79" i="8"/>
  <c r="AN83" i="8"/>
  <c r="AN87" i="8"/>
  <c r="AN91" i="8"/>
  <c r="AN95" i="8"/>
  <c r="AN22" i="8"/>
  <c r="AN34" i="8"/>
  <c r="R30" i="2"/>
  <c r="AO20" i="8" s="1"/>
  <c r="R48" i="2"/>
  <c r="AO32" i="8" s="1"/>
  <c r="R144" i="2"/>
  <c r="AO92" i="8" s="1"/>
  <c r="AN10" i="8"/>
  <c r="AN24" i="8"/>
  <c r="AN28" i="8"/>
  <c r="AN36" i="8"/>
  <c r="AN40" i="8"/>
  <c r="AN44" i="8"/>
  <c r="AN48" i="8"/>
  <c r="AN52" i="8"/>
  <c r="AN56" i="8"/>
  <c r="AN60" i="8"/>
  <c r="AN64" i="8"/>
  <c r="AN68" i="8"/>
  <c r="AN72" i="8"/>
  <c r="AN84" i="8"/>
  <c r="AN88" i="8"/>
  <c r="AN96" i="8"/>
  <c r="AN100" i="8"/>
  <c r="AN50" i="8"/>
  <c r="AN58" i="8"/>
  <c r="AN66" i="8"/>
  <c r="AN82" i="8"/>
  <c r="AN94" i="8"/>
  <c r="AN7" i="8"/>
  <c r="AN13" i="8"/>
  <c r="AN17" i="8"/>
  <c r="AN21" i="8"/>
  <c r="AN25" i="8"/>
  <c r="AN29" i="8"/>
  <c r="AN33" i="8"/>
  <c r="AN37" i="8"/>
  <c r="AN53" i="8"/>
  <c r="AN57" i="8"/>
  <c r="AN69" i="8"/>
  <c r="AN73" i="8"/>
  <c r="AN77" i="8"/>
  <c r="AN81" i="8"/>
  <c r="AN89" i="8"/>
  <c r="AN93" i="8"/>
  <c r="AE102" i="8"/>
  <c r="AI102" i="8" s="1"/>
  <c r="AL102" i="8" s="1"/>
  <c r="X97" i="3"/>
  <c r="AE97" i="8"/>
  <c r="AI97" i="8" s="1"/>
  <c r="AL97" i="8" s="1"/>
  <c r="AE92" i="8"/>
  <c r="AI92" i="8" s="1"/>
  <c r="AL92" i="8" s="1"/>
  <c r="AE87" i="8"/>
  <c r="AI87" i="8" s="1"/>
  <c r="AR87" i="8" s="1"/>
  <c r="AL89" i="8"/>
  <c r="AL100" i="8"/>
  <c r="AR100" i="8"/>
  <c r="X100" i="8" s="1"/>
  <c r="W100" i="8" s="1"/>
  <c r="AL99" i="8"/>
  <c r="AR98" i="8"/>
  <c r="B98" i="8" s="1"/>
  <c r="A98" i="8" s="1"/>
  <c r="AL98" i="8"/>
  <c r="AL96" i="8"/>
  <c r="AR96" i="8"/>
  <c r="D96" i="8" s="1"/>
  <c r="C96" i="8" s="1"/>
  <c r="AR86" i="8"/>
  <c r="P86" i="8" s="1"/>
  <c r="O86" i="8" s="1"/>
  <c r="AL86" i="8"/>
  <c r="AR101" i="8"/>
  <c r="B101" i="8" s="1"/>
  <c r="A101" i="8" s="1"/>
  <c r="AL101" i="8"/>
  <c r="AL95" i="8"/>
  <c r="AL94" i="8"/>
  <c r="AR94" i="8"/>
  <c r="P94" i="8" s="1"/>
  <c r="O94" i="8" s="1"/>
  <c r="AR93" i="8"/>
  <c r="H93" i="8" s="1"/>
  <c r="G93" i="8" s="1"/>
  <c r="AL93" i="8"/>
  <c r="AR85" i="8"/>
  <c r="V85" i="8" s="1"/>
  <c r="U85" i="8" s="1"/>
  <c r="AL85" i="8"/>
  <c r="AR102" i="8"/>
  <c r="V102" i="8" s="1"/>
  <c r="U102" i="8" s="1"/>
  <c r="AR91" i="8"/>
  <c r="H91" i="8" s="1"/>
  <c r="G91" i="8" s="1"/>
  <c r="AL91" i="8"/>
  <c r="AL90" i="8"/>
  <c r="AR90" i="8"/>
  <c r="X90" i="8" s="1"/>
  <c r="W90" i="8" s="1"/>
  <c r="AL84" i="8"/>
  <c r="AR84" i="8"/>
  <c r="N84" i="8" s="1"/>
  <c r="M84" i="8" s="1"/>
  <c r="AN12" i="8"/>
  <c r="AO11" i="8"/>
  <c r="AN11" i="8"/>
  <c r="R98" i="8"/>
  <c r="Q98" i="8" s="1"/>
  <c r="L93" i="8"/>
  <c r="K93" i="8" s="1"/>
  <c r="N85" i="8"/>
  <c r="M85" i="8" s="1"/>
  <c r="P101" i="8"/>
  <c r="O101" i="8" s="1"/>
  <c r="H84" i="8"/>
  <c r="G84" i="8" s="1"/>
  <c r="T102" i="8"/>
  <c r="S102" i="8" s="1"/>
  <c r="P98" i="8"/>
  <c r="O98" i="8" s="1"/>
  <c r="F98" i="8"/>
  <c r="E98" i="8" s="1"/>
  <c r="N86" i="8"/>
  <c r="M86" i="8" s="1"/>
  <c r="D98" i="8"/>
  <c r="C98" i="8" s="1"/>
  <c r="L86" i="8"/>
  <c r="K86" i="8" s="1"/>
  <c r="A1" i="3"/>
  <c r="N89" i="8" l="1"/>
  <c r="M89" i="8" s="1"/>
  <c r="L89" i="8"/>
  <c r="K89" i="8" s="1"/>
  <c r="V83" i="8"/>
  <c r="U83" i="8" s="1"/>
  <c r="H83" i="8"/>
  <c r="G83" i="8" s="1"/>
  <c r="F83" i="8"/>
  <c r="E83" i="8" s="1"/>
  <c r="R83" i="8"/>
  <c r="Q83" i="8" s="1"/>
  <c r="L83" i="8"/>
  <c r="K83" i="8" s="1"/>
  <c r="B99" i="8"/>
  <c r="A99" i="8" s="1"/>
  <c r="F99" i="8"/>
  <c r="E99" i="8" s="1"/>
  <c r="X99" i="8"/>
  <c r="W99" i="8" s="1"/>
  <c r="J90" i="8"/>
  <c r="I90" i="8" s="1"/>
  <c r="V86" i="8"/>
  <c r="U86" i="8" s="1"/>
  <c r="AR88" i="8"/>
  <c r="N88" i="8" s="1"/>
  <c r="M88" i="8" s="1"/>
  <c r="AO83" i="8"/>
  <c r="T132" i="2"/>
  <c r="AP83" i="8" s="1"/>
  <c r="D86" i="8"/>
  <c r="C86" i="8" s="1"/>
  <c r="F93" i="8"/>
  <c r="E93" i="8" s="1"/>
  <c r="B90" i="8"/>
  <c r="A90" i="8" s="1"/>
  <c r="AO88" i="8"/>
  <c r="T140" i="2"/>
  <c r="AP88" i="8" s="1"/>
  <c r="AO43" i="8"/>
  <c r="T68" i="2"/>
  <c r="AP43" i="8" s="1"/>
  <c r="AO68" i="8"/>
  <c r="T108" i="2"/>
  <c r="AP68" i="8" s="1"/>
  <c r="AO28" i="8"/>
  <c r="T44" i="2"/>
  <c r="AP28" i="8" s="1"/>
  <c r="AO13" i="8"/>
  <c r="T20" i="2"/>
  <c r="AO58" i="8"/>
  <c r="T92" i="2"/>
  <c r="AP58" i="8" s="1"/>
  <c r="AO53" i="8"/>
  <c r="T84" i="2"/>
  <c r="AP53" i="8" s="1"/>
  <c r="T90" i="8"/>
  <c r="S90" i="8" s="1"/>
  <c r="AO93" i="8"/>
  <c r="T148" i="2"/>
  <c r="AP93" i="8" s="1"/>
  <c r="L94" i="8"/>
  <c r="K94" i="8" s="1"/>
  <c r="D91" i="8"/>
  <c r="C91" i="8" s="1"/>
  <c r="J93" i="8"/>
  <c r="I93" i="8" s="1"/>
  <c r="AR97" i="8"/>
  <c r="D97" i="8" s="1"/>
  <c r="C97" i="8" s="1"/>
  <c r="AO78" i="8"/>
  <c r="T124" i="2"/>
  <c r="AP78" i="8" s="1"/>
  <c r="L91" i="8"/>
  <c r="K91" i="8" s="1"/>
  <c r="H86" i="8"/>
  <c r="G86" i="8" s="1"/>
  <c r="AL83" i="8"/>
  <c r="AO63" i="8"/>
  <c r="T100" i="2"/>
  <c r="AP63" i="8" s="1"/>
  <c r="AO23" i="8"/>
  <c r="T36" i="2"/>
  <c r="AP23" i="8" s="1"/>
  <c r="AO38" i="8"/>
  <c r="T60" i="2"/>
  <c r="AP38" i="8" s="1"/>
  <c r="AO48" i="8"/>
  <c r="T76" i="2"/>
  <c r="AP48" i="8" s="1"/>
  <c r="AO98" i="8"/>
  <c r="T156" i="2"/>
  <c r="AP98" i="8" s="1"/>
  <c r="R93" i="8"/>
  <c r="Q93" i="8" s="1"/>
  <c r="B91" i="8"/>
  <c r="A91" i="8" s="1"/>
  <c r="R100" i="8"/>
  <c r="Q100" i="8" s="1"/>
  <c r="B86" i="8"/>
  <c r="A86" i="8" s="1"/>
  <c r="AO73" i="8"/>
  <c r="T116" i="2"/>
  <c r="AP73" i="8" s="1"/>
  <c r="AO33" i="8"/>
  <c r="T52" i="2"/>
  <c r="AP33" i="8" s="1"/>
  <c r="AO21" i="8"/>
  <c r="T28" i="2"/>
  <c r="T12" i="2"/>
  <c r="J86" i="8"/>
  <c r="I86" i="8" s="1"/>
  <c r="T86" i="8"/>
  <c r="S86" i="8" s="1"/>
  <c r="L102" i="8"/>
  <c r="K102" i="8" s="1"/>
  <c r="N90" i="8"/>
  <c r="M90" i="8" s="1"/>
  <c r="J102" i="8"/>
  <c r="I102" i="8" s="1"/>
  <c r="B83" i="8"/>
  <c r="A83" i="8" s="1"/>
  <c r="P93" i="8"/>
  <c r="O93" i="8" s="1"/>
  <c r="B95" i="8"/>
  <c r="A95" i="8" s="1"/>
  <c r="N96" i="8"/>
  <c r="M96" i="8" s="1"/>
  <c r="D84" i="8"/>
  <c r="C84" i="8" s="1"/>
  <c r="N100" i="8"/>
  <c r="M100" i="8" s="1"/>
  <c r="F100" i="8"/>
  <c r="E100" i="8" s="1"/>
  <c r="N101" i="8"/>
  <c r="M101" i="8" s="1"/>
  <c r="F85" i="8"/>
  <c r="E85" i="8" s="1"/>
  <c r="H98" i="8"/>
  <c r="G98" i="8" s="1"/>
  <c r="V98" i="8"/>
  <c r="U98" i="8" s="1"/>
  <c r="X83" i="8"/>
  <c r="W83" i="8" s="1"/>
  <c r="D83" i="8"/>
  <c r="C83" i="8" s="1"/>
  <c r="L84" i="8"/>
  <c r="K84" i="8" s="1"/>
  <c r="N91" i="8"/>
  <c r="M91" i="8" s="1"/>
  <c r="R91" i="8"/>
  <c r="Q91" i="8" s="1"/>
  <c r="H100" i="8"/>
  <c r="G100" i="8" s="1"/>
  <c r="D101" i="8"/>
  <c r="C101" i="8" s="1"/>
  <c r="J85" i="8"/>
  <c r="I85" i="8" s="1"/>
  <c r="N98" i="8"/>
  <c r="M98" i="8" s="1"/>
  <c r="P83" i="8"/>
  <c r="O83" i="8" s="1"/>
  <c r="T84" i="8"/>
  <c r="S84" i="8" s="1"/>
  <c r="P91" i="8"/>
  <c r="O91" i="8" s="1"/>
  <c r="J91" i="8"/>
  <c r="I91" i="8" s="1"/>
  <c r="T100" i="8"/>
  <c r="S100" i="8" s="1"/>
  <c r="V101" i="8"/>
  <c r="U101" i="8" s="1"/>
  <c r="B85" i="8"/>
  <c r="A85" i="8" s="1"/>
  <c r="J96" i="8"/>
  <c r="I96" i="8" s="1"/>
  <c r="R96" i="8"/>
  <c r="Q96" i="8" s="1"/>
  <c r="R86" i="8"/>
  <c r="Q86" i="8" s="1"/>
  <c r="T98" i="8"/>
  <c r="S98" i="8" s="1"/>
  <c r="L90" i="8"/>
  <c r="K90" i="8" s="1"/>
  <c r="J98" i="8"/>
  <c r="I98" i="8" s="1"/>
  <c r="F86" i="8"/>
  <c r="E86" i="8" s="1"/>
  <c r="V90" i="8"/>
  <c r="U90" i="8" s="1"/>
  <c r="H90" i="8"/>
  <c r="G90" i="8" s="1"/>
  <c r="J83" i="8"/>
  <c r="I83" i="8" s="1"/>
  <c r="N83" i="8"/>
  <c r="M83" i="8" s="1"/>
  <c r="B89" i="8"/>
  <c r="A89" i="8" s="1"/>
  <c r="F91" i="8"/>
  <c r="E91" i="8" s="1"/>
  <c r="X91" i="8"/>
  <c r="W91" i="8" s="1"/>
  <c r="X93" i="8"/>
  <c r="W93" i="8" s="1"/>
  <c r="R95" i="8"/>
  <c r="Q95" i="8" s="1"/>
  <c r="P96" i="8"/>
  <c r="O96" i="8" s="1"/>
  <c r="T96" i="8"/>
  <c r="S96" i="8" s="1"/>
  <c r="R90" i="8"/>
  <c r="Q90" i="8" s="1"/>
  <c r="P102" i="8"/>
  <c r="O102" i="8" s="1"/>
  <c r="D90" i="8"/>
  <c r="C90" i="8" s="1"/>
  <c r="F90" i="8"/>
  <c r="E90" i="8" s="1"/>
  <c r="P90" i="8"/>
  <c r="O90" i="8" s="1"/>
  <c r="P99" i="8"/>
  <c r="O99" i="8" s="1"/>
  <c r="B84" i="8"/>
  <c r="A84" i="8" s="1"/>
  <c r="F84" i="8"/>
  <c r="E84" i="8" s="1"/>
  <c r="D100" i="8"/>
  <c r="C100" i="8" s="1"/>
  <c r="J101" i="8"/>
  <c r="I101" i="8" s="1"/>
  <c r="T101" i="8"/>
  <c r="S101" i="8" s="1"/>
  <c r="P85" i="8"/>
  <c r="O85" i="8" s="1"/>
  <c r="N93" i="8"/>
  <c r="M93" i="8" s="1"/>
  <c r="D93" i="8"/>
  <c r="C93" i="8" s="1"/>
  <c r="B93" i="8"/>
  <c r="A93" i="8" s="1"/>
  <c r="X86" i="8"/>
  <c r="W86" i="8" s="1"/>
  <c r="H85" i="8"/>
  <c r="G85" i="8" s="1"/>
  <c r="X89" i="8"/>
  <c r="W89" i="8" s="1"/>
  <c r="D89" i="8"/>
  <c r="C89" i="8" s="1"/>
  <c r="N99" i="8"/>
  <c r="M99" i="8" s="1"/>
  <c r="R89" i="8"/>
  <c r="Q89" i="8" s="1"/>
  <c r="P89" i="8"/>
  <c r="O89" i="8" s="1"/>
  <c r="T99" i="8"/>
  <c r="S99" i="8" s="1"/>
  <c r="R99" i="8"/>
  <c r="Q99" i="8" s="1"/>
  <c r="R84" i="8"/>
  <c r="Q84" i="8" s="1"/>
  <c r="X84" i="8"/>
  <c r="W84" i="8" s="1"/>
  <c r="V84" i="8"/>
  <c r="U84" i="8" s="1"/>
  <c r="J100" i="8"/>
  <c r="I100" i="8" s="1"/>
  <c r="B100" i="8"/>
  <c r="A100" i="8" s="1"/>
  <c r="L100" i="8"/>
  <c r="K100" i="8" s="1"/>
  <c r="L101" i="8"/>
  <c r="K101" i="8" s="1"/>
  <c r="X101" i="8"/>
  <c r="W101" i="8" s="1"/>
  <c r="H101" i="8"/>
  <c r="G101" i="8" s="1"/>
  <c r="L85" i="8"/>
  <c r="K85" i="8" s="1"/>
  <c r="T85" i="8"/>
  <c r="S85" i="8" s="1"/>
  <c r="D85" i="8"/>
  <c r="C85" i="8" s="1"/>
  <c r="D99" i="8"/>
  <c r="C99" i="8" s="1"/>
  <c r="T89" i="8"/>
  <c r="S89" i="8" s="1"/>
  <c r="J89" i="8"/>
  <c r="I89" i="8" s="1"/>
  <c r="H89" i="8"/>
  <c r="G89" i="8" s="1"/>
  <c r="J99" i="8"/>
  <c r="I99" i="8" s="1"/>
  <c r="L99" i="8"/>
  <c r="K99" i="8" s="1"/>
  <c r="J84" i="8"/>
  <c r="I84" i="8" s="1"/>
  <c r="P84" i="8"/>
  <c r="O84" i="8" s="1"/>
  <c r="V100" i="8"/>
  <c r="U100" i="8" s="1"/>
  <c r="P100" i="8"/>
  <c r="O100" i="8" s="1"/>
  <c r="R101" i="8"/>
  <c r="Q101" i="8" s="1"/>
  <c r="F101" i="8"/>
  <c r="E101" i="8" s="1"/>
  <c r="R85" i="8"/>
  <c r="Q85" i="8" s="1"/>
  <c r="X85" i="8"/>
  <c r="W85" i="8" s="1"/>
  <c r="R94" i="8"/>
  <c r="Q94" i="8" s="1"/>
  <c r="T94" i="8"/>
  <c r="S94" i="8" s="1"/>
  <c r="V94" i="8"/>
  <c r="U94" i="8" s="1"/>
  <c r="X98" i="8"/>
  <c r="W98" i="8" s="1"/>
  <c r="L98" i="8"/>
  <c r="K98" i="8" s="1"/>
  <c r="T83" i="8"/>
  <c r="S83" i="8" s="1"/>
  <c r="F89" i="8"/>
  <c r="E89" i="8" s="1"/>
  <c r="V89" i="8"/>
  <c r="U89" i="8" s="1"/>
  <c r="V99" i="8"/>
  <c r="U99" i="8" s="1"/>
  <c r="H99" i="8"/>
  <c r="G99" i="8" s="1"/>
  <c r="V91" i="8"/>
  <c r="U91" i="8" s="1"/>
  <c r="T91" i="8"/>
  <c r="S91" i="8" s="1"/>
  <c r="V93" i="8"/>
  <c r="U93" i="8" s="1"/>
  <c r="T93" i="8"/>
  <c r="S93" i="8" s="1"/>
  <c r="J95" i="8"/>
  <c r="I95" i="8" s="1"/>
  <c r="H96" i="8"/>
  <c r="G96" i="8" s="1"/>
  <c r="F96" i="8"/>
  <c r="E96" i="8" s="1"/>
  <c r="L96" i="8"/>
  <c r="K96" i="8" s="1"/>
  <c r="X96" i="8"/>
  <c r="W96" i="8" s="1"/>
  <c r="V96" i="8"/>
  <c r="U96" i="8" s="1"/>
  <c r="B96" i="8"/>
  <c r="A96" i="8" s="1"/>
  <c r="R97" i="8"/>
  <c r="Q97" i="8" s="1"/>
  <c r="L97" i="8"/>
  <c r="K97" i="8" s="1"/>
  <c r="T97" i="8"/>
  <c r="S97" i="8" s="1"/>
  <c r="V97" i="8"/>
  <c r="U97" i="8" s="1"/>
  <c r="J97" i="8"/>
  <c r="I97" i="8" s="1"/>
  <c r="N97" i="8"/>
  <c r="M97" i="8" s="1"/>
  <c r="P97" i="8"/>
  <c r="O97" i="8" s="1"/>
  <c r="B97" i="8"/>
  <c r="A97" i="8" s="1"/>
  <c r="F97" i="8"/>
  <c r="E97" i="8" s="1"/>
  <c r="AR92" i="8"/>
  <c r="R102" i="8"/>
  <c r="Q102" i="8" s="1"/>
  <c r="B102" i="8"/>
  <c r="A102" i="8" s="1"/>
  <c r="X102" i="8"/>
  <c r="W102" i="8" s="1"/>
  <c r="H102" i="8"/>
  <c r="G102" i="8" s="1"/>
  <c r="D102" i="8"/>
  <c r="C102" i="8" s="1"/>
  <c r="F102" i="8"/>
  <c r="E102" i="8" s="1"/>
  <c r="N102" i="8"/>
  <c r="M102" i="8" s="1"/>
  <c r="X97" i="8"/>
  <c r="W97" i="8" s="1"/>
  <c r="H97" i="8"/>
  <c r="G97" i="8" s="1"/>
  <c r="H87" i="8"/>
  <c r="G87" i="8" s="1"/>
  <c r="B87" i="8"/>
  <c r="A87" i="8" s="1"/>
  <c r="D87" i="8"/>
  <c r="C87" i="8" s="1"/>
  <c r="N87" i="8"/>
  <c r="M87" i="8" s="1"/>
  <c r="F87" i="8"/>
  <c r="E87" i="8" s="1"/>
  <c r="P87" i="8"/>
  <c r="O87" i="8" s="1"/>
  <c r="J87" i="8"/>
  <c r="I87" i="8" s="1"/>
  <c r="L87" i="8"/>
  <c r="K87" i="8" s="1"/>
  <c r="V87" i="8"/>
  <c r="U87" i="8" s="1"/>
  <c r="X87" i="8"/>
  <c r="W87" i="8" s="1"/>
  <c r="R87" i="8"/>
  <c r="Q87" i="8" s="1"/>
  <c r="T87" i="8"/>
  <c r="S87" i="8" s="1"/>
  <c r="AL87" i="8"/>
  <c r="X95" i="8"/>
  <c r="W95" i="8" s="1"/>
  <c r="V95" i="8"/>
  <c r="U95" i="8" s="1"/>
  <c r="T95" i="8"/>
  <c r="S95" i="8" s="1"/>
  <c r="J94" i="8"/>
  <c r="I94" i="8" s="1"/>
  <c r="D94" i="8"/>
  <c r="C94" i="8" s="1"/>
  <c r="F94" i="8"/>
  <c r="E94" i="8" s="1"/>
  <c r="X94" i="8"/>
  <c r="W94" i="8" s="1"/>
  <c r="P95" i="8"/>
  <c r="O95" i="8" s="1"/>
  <c r="N95" i="8"/>
  <c r="M95" i="8" s="1"/>
  <c r="L95" i="8"/>
  <c r="K95" i="8" s="1"/>
  <c r="P88" i="8"/>
  <c r="O88" i="8" s="1"/>
  <c r="B94" i="8"/>
  <c r="A94" i="8" s="1"/>
  <c r="N94" i="8"/>
  <c r="M94" i="8" s="1"/>
  <c r="H94" i="8"/>
  <c r="G94" i="8" s="1"/>
  <c r="H95" i="8"/>
  <c r="G95" i="8" s="1"/>
  <c r="F95" i="8"/>
  <c r="E95" i="8" s="1"/>
  <c r="F22" i="10"/>
  <c r="F21" i="10"/>
  <c r="D20" i="10"/>
  <c r="F19" i="10"/>
  <c r="F18" i="10"/>
  <c r="F17" i="10"/>
  <c r="D16" i="10"/>
  <c r="F15" i="10"/>
  <c r="F14" i="10"/>
  <c r="F13" i="10"/>
  <c r="D12" i="10"/>
  <c r="F11" i="10"/>
  <c r="F10" i="10"/>
  <c r="F9" i="10"/>
  <c r="D8" i="10"/>
  <c r="F7" i="10"/>
  <c r="V88" i="8" l="1"/>
  <c r="U88" i="8" s="1"/>
  <c r="B88" i="8"/>
  <c r="A88" i="8" s="1"/>
  <c r="J88" i="8"/>
  <c r="I88" i="8" s="1"/>
  <c r="C5" i="10"/>
  <c r="AP13" i="8"/>
  <c r="D88" i="8"/>
  <c r="C88" i="8" s="1"/>
  <c r="X88" i="8"/>
  <c r="W88" i="8" s="1"/>
  <c r="R88" i="8"/>
  <c r="Q88" i="8" s="1"/>
  <c r="H88" i="8"/>
  <c r="G88" i="8" s="1"/>
  <c r="F88" i="8"/>
  <c r="E88" i="8" s="1"/>
  <c r="L88" i="8"/>
  <c r="K88" i="8" s="1"/>
  <c r="T88" i="8"/>
  <c r="S88" i="8" s="1"/>
  <c r="C6" i="10"/>
  <c r="AP18" i="8"/>
  <c r="AP8" i="8"/>
  <c r="C4" i="10"/>
  <c r="J92" i="8"/>
  <c r="I92" i="8" s="1"/>
  <c r="L92" i="8"/>
  <c r="K92" i="8" s="1"/>
  <c r="F92" i="8"/>
  <c r="E92" i="8" s="1"/>
  <c r="R92" i="8"/>
  <c r="Q92" i="8" s="1"/>
  <c r="T92" i="8"/>
  <c r="S92" i="8" s="1"/>
  <c r="N92" i="8"/>
  <c r="M92" i="8" s="1"/>
  <c r="H92" i="8"/>
  <c r="G92" i="8" s="1"/>
  <c r="V92" i="8"/>
  <c r="U92" i="8" s="1"/>
  <c r="B92" i="8"/>
  <c r="A92" i="8" s="1"/>
  <c r="D92" i="8"/>
  <c r="C92" i="8" s="1"/>
  <c r="X92" i="8"/>
  <c r="W92" i="8" s="1"/>
  <c r="P92" i="8"/>
  <c r="O92" i="8" s="1"/>
  <c r="D10" i="10"/>
  <c r="D14" i="10"/>
  <c r="D18" i="10"/>
  <c r="D22" i="10"/>
  <c r="F20" i="10"/>
  <c r="F16" i="10"/>
  <c r="F12" i="10"/>
  <c r="F8" i="10"/>
  <c r="D7" i="10"/>
  <c r="D11" i="10"/>
  <c r="D15" i="10"/>
  <c r="D19" i="10"/>
  <c r="D9" i="10"/>
  <c r="D13" i="10"/>
  <c r="D17" i="10"/>
  <c r="D21" i="10"/>
  <c r="Q37" i="9"/>
  <c r="L37" i="9"/>
  <c r="G37" i="9"/>
  <c r="B37" i="9"/>
  <c r="Q19" i="9"/>
  <c r="L19" i="9"/>
  <c r="G19" i="9"/>
  <c r="B19" i="9"/>
  <c r="Q1" i="9"/>
  <c r="L1" i="9"/>
  <c r="G1" i="9"/>
  <c r="B1" i="9" l="1"/>
  <c r="R103" i="8" l="1"/>
  <c r="R104" i="8"/>
  <c r="R105" i="8"/>
  <c r="R106" i="8"/>
  <c r="R107" i="8"/>
  <c r="R108" i="8"/>
  <c r="R109" i="8"/>
  <c r="R110" i="8"/>
  <c r="R111" i="8"/>
  <c r="R112" i="8"/>
  <c r="R113" i="8"/>
  <c r="R114" i="8"/>
  <c r="R115" i="8"/>
  <c r="R116" i="8"/>
  <c r="R117" i="8"/>
  <c r="R118" i="8"/>
  <c r="R119" i="8"/>
  <c r="R120" i="8"/>
  <c r="R121" i="8"/>
  <c r="R122" i="8"/>
  <c r="R123" i="8"/>
  <c r="R124" i="8"/>
  <c r="R125" i="8"/>
  <c r="R126" i="8"/>
  <c r="R127" i="8"/>
  <c r="R128" i="8"/>
  <c r="N103" i="8"/>
  <c r="N104" i="8"/>
  <c r="N105" i="8"/>
  <c r="N106" i="8"/>
  <c r="N107" i="8"/>
  <c r="N108" i="8"/>
  <c r="N109" i="8"/>
  <c r="N110" i="8"/>
  <c r="N111" i="8"/>
  <c r="N112" i="8"/>
  <c r="N113" i="8"/>
  <c r="N114" i="8"/>
  <c r="N115" i="8"/>
  <c r="N116" i="8"/>
  <c r="N117" i="8"/>
  <c r="N118" i="8"/>
  <c r="N119" i="8"/>
  <c r="N120" i="8"/>
  <c r="N121" i="8"/>
  <c r="N122" i="8"/>
  <c r="N123" i="8"/>
  <c r="N124" i="8"/>
  <c r="N125"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K11" i="5" l="1"/>
  <c r="AH11" i="8" s="1"/>
  <c r="K12" i="5"/>
  <c r="AH12" i="8" s="1"/>
  <c r="K13" i="5"/>
  <c r="K14" i="5"/>
  <c r="AH14" i="8" s="1"/>
  <c r="K15" i="5"/>
  <c r="AH15" i="8" s="1"/>
  <c r="K16" i="5"/>
  <c r="AH16" i="8" s="1"/>
  <c r="K17" i="5"/>
  <c r="AH17" i="8" s="1"/>
  <c r="K18" i="5"/>
  <c r="AH18" i="8" s="1"/>
  <c r="K19" i="5"/>
  <c r="AH19" i="8" s="1"/>
  <c r="K20" i="5"/>
  <c r="AH20" i="8" s="1"/>
  <c r="K21" i="5"/>
  <c r="K22" i="5"/>
  <c r="AH22" i="8" s="1"/>
  <c r="K23" i="5"/>
  <c r="K24" i="5"/>
  <c r="AH24" i="8" s="1"/>
  <c r="K25" i="5"/>
  <c r="AH25" i="8" s="1"/>
  <c r="K26" i="5"/>
  <c r="AH26" i="8" s="1"/>
  <c r="K27" i="5"/>
  <c r="AH27" i="8" s="1"/>
  <c r="K28" i="5"/>
  <c r="K29" i="5"/>
  <c r="AH29" i="8" s="1"/>
  <c r="K30" i="5"/>
  <c r="AH30" i="8" s="1"/>
  <c r="K31" i="5"/>
  <c r="AH31" i="8" s="1"/>
  <c r="K32" i="5"/>
  <c r="AH32" i="8" s="1"/>
  <c r="K33" i="5"/>
  <c r="K34" i="5"/>
  <c r="AH34" i="8" s="1"/>
  <c r="K35" i="5"/>
  <c r="AH35" i="8" s="1"/>
  <c r="K36" i="5"/>
  <c r="AH36" i="8" s="1"/>
  <c r="K37" i="5"/>
  <c r="AH37" i="8" s="1"/>
  <c r="K38" i="5"/>
  <c r="K39" i="5"/>
  <c r="AH39" i="8" s="1"/>
  <c r="K40" i="5"/>
  <c r="AH40" i="8" s="1"/>
  <c r="K41" i="5"/>
  <c r="AH41" i="8" s="1"/>
  <c r="K42" i="5"/>
  <c r="AH42" i="8" s="1"/>
  <c r="K43" i="5"/>
  <c r="K44" i="5"/>
  <c r="AH44" i="8" s="1"/>
  <c r="K45" i="5"/>
  <c r="AH45" i="8" s="1"/>
  <c r="K46" i="5"/>
  <c r="AH46" i="8" s="1"/>
  <c r="K47" i="5"/>
  <c r="AH47" i="8" s="1"/>
  <c r="K48" i="5"/>
  <c r="K49" i="5"/>
  <c r="AH49" i="8" s="1"/>
  <c r="K50" i="5"/>
  <c r="AH50" i="8" s="1"/>
  <c r="K51" i="5"/>
  <c r="AH51" i="8" s="1"/>
  <c r="K52" i="5"/>
  <c r="AH52" i="8" s="1"/>
  <c r="K53" i="5"/>
  <c r="K54" i="5"/>
  <c r="AH54" i="8" s="1"/>
  <c r="K55" i="5"/>
  <c r="AH55" i="8" s="1"/>
  <c r="K56" i="5"/>
  <c r="AH56" i="8" s="1"/>
  <c r="K57" i="5"/>
  <c r="AH57" i="8" s="1"/>
  <c r="K58" i="5"/>
  <c r="K59" i="5"/>
  <c r="AH59" i="8" s="1"/>
  <c r="K60" i="5"/>
  <c r="AH60" i="8" s="1"/>
  <c r="K61" i="5"/>
  <c r="AH61" i="8" s="1"/>
  <c r="K62" i="5"/>
  <c r="AH62" i="8" s="1"/>
  <c r="K63" i="5"/>
  <c r="K64" i="5"/>
  <c r="AH64" i="8" s="1"/>
  <c r="K65" i="5"/>
  <c r="AH65" i="8" s="1"/>
  <c r="K66" i="5"/>
  <c r="AH66" i="8" s="1"/>
  <c r="K67" i="5"/>
  <c r="AH67" i="8" s="1"/>
  <c r="K68" i="5"/>
  <c r="K69" i="5"/>
  <c r="AH69" i="8" s="1"/>
  <c r="K70" i="5"/>
  <c r="AH70" i="8" s="1"/>
  <c r="K71" i="5"/>
  <c r="AH71" i="8" s="1"/>
  <c r="K72" i="5"/>
  <c r="AH72" i="8" s="1"/>
  <c r="K73" i="5"/>
  <c r="K74" i="5"/>
  <c r="AH74" i="8" s="1"/>
  <c r="K75" i="5"/>
  <c r="AH75" i="8" s="1"/>
  <c r="K76" i="5"/>
  <c r="AH76" i="8" s="1"/>
  <c r="K77" i="5"/>
  <c r="AH77" i="8" s="1"/>
  <c r="K78" i="5"/>
  <c r="K79" i="5"/>
  <c r="AH79" i="8" s="1"/>
  <c r="K80" i="5"/>
  <c r="AH80" i="8" s="1"/>
  <c r="K81" i="5"/>
  <c r="AH81" i="8" s="1"/>
  <c r="K82" i="5"/>
  <c r="AH82" i="8" s="1"/>
  <c r="J11" i="4"/>
  <c r="AG11" i="8" s="1"/>
  <c r="J12" i="4"/>
  <c r="AG12" i="8" s="1"/>
  <c r="J13" i="4"/>
  <c r="AG13" i="8" s="1"/>
  <c r="J14" i="4"/>
  <c r="J15" i="4"/>
  <c r="AG15" i="8" s="1"/>
  <c r="J16" i="4"/>
  <c r="AG16" i="8" s="1"/>
  <c r="J17" i="4"/>
  <c r="AG17" i="8" s="1"/>
  <c r="J18" i="4"/>
  <c r="AG18" i="8" s="1"/>
  <c r="J19" i="4"/>
  <c r="AG19" i="8" s="1"/>
  <c r="J20" i="4"/>
  <c r="AG20" i="8" s="1"/>
  <c r="J21" i="4"/>
  <c r="J22" i="4"/>
  <c r="AG22" i="8" s="1"/>
  <c r="J23" i="4"/>
  <c r="J24" i="4"/>
  <c r="J25" i="4"/>
  <c r="AG25" i="8" s="1"/>
  <c r="J26" i="4"/>
  <c r="AG26" i="8" s="1"/>
  <c r="J27" i="4"/>
  <c r="AG27" i="8" s="1"/>
  <c r="J28" i="4"/>
  <c r="K28" i="4" s="1"/>
  <c r="J29" i="4"/>
  <c r="AG29" i="8" s="1"/>
  <c r="J30" i="4"/>
  <c r="AG30" i="8" s="1"/>
  <c r="J31" i="4"/>
  <c r="AG31" i="8" s="1"/>
  <c r="J32" i="4"/>
  <c r="AG32" i="8" s="1"/>
  <c r="J33" i="4"/>
  <c r="J34" i="4"/>
  <c r="AG34" i="8" s="1"/>
  <c r="J35" i="4"/>
  <c r="AG35" i="8" s="1"/>
  <c r="J36" i="4"/>
  <c r="AG36" i="8" s="1"/>
  <c r="J37" i="4"/>
  <c r="AG37" i="8" s="1"/>
  <c r="J38" i="4"/>
  <c r="J39" i="4"/>
  <c r="AG39" i="8" s="1"/>
  <c r="J40" i="4"/>
  <c r="AG40" i="8" s="1"/>
  <c r="J41" i="4"/>
  <c r="AG41" i="8" s="1"/>
  <c r="J42" i="4"/>
  <c r="AG42" i="8" s="1"/>
  <c r="J43" i="4"/>
  <c r="J44" i="4"/>
  <c r="J45" i="4"/>
  <c r="AG45" i="8" s="1"/>
  <c r="J46" i="4"/>
  <c r="AG46" i="8" s="1"/>
  <c r="J47" i="4"/>
  <c r="AG47" i="8" s="1"/>
  <c r="J48" i="4"/>
  <c r="J49" i="4"/>
  <c r="AG49" i="8" s="1"/>
  <c r="J50" i="4"/>
  <c r="AG50" i="8" s="1"/>
  <c r="J51" i="4"/>
  <c r="AG51" i="8" s="1"/>
  <c r="J52" i="4"/>
  <c r="J53" i="4"/>
  <c r="J54" i="4"/>
  <c r="AG54" i="8" s="1"/>
  <c r="J55" i="4"/>
  <c r="AG55" i="8" s="1"/>
  <c r="J56" i="4"/>
  <c r="J57" i="4"/>
  <c r="AG57" i="8" s="1"/>
  <c r="J58" i="4"/>
  <c r="J59" i="4"/>
  <c r="AG59" i="8" s="1"/>
  <c r="J60" i="4"/>
  <c r="AG60" i="8" s="1"/>
  <c r="J61" i="4"/>
  <c r="AG61" i="8" s="1"/>
  <c r="J62" i="4"/>
  <c r="AG62" i="8" s="1"/>
  <c r="J63" i="4"/>
  <c r="J64" i="4"/>
  <c r="AG64" i="8" s="1"/>
  <c r="J65" i="4"/>
  <c r="AG65" i="8" s="1"/>
  <c r="J66" i="4"/>
  <c r="AG66" i="8" s="1"/>
  <c r="J67" i="4"/>
  <c r="AG67" i="8" s="1"/>
  <c r="J68" i="4"/>
  <c r="K68" i="4" s="1"/>
  <c r="J69" i="4"/>
  <c r="AG69" i="8" s="1"/>
  <c r="J70" i="4"/>
  <c r="AG70" i="8" s="1"/>
  <c r="J71" i="4"/>
  <c r="AG71" i="8" s="1"/>
  <c r="J72" i="4"/>
  <c r="J73" i="4"/>
  <c r="J74" i="4"/>
  <c r="AG74" i="8" s="1"/>
  <c r="J75" i="4"/>
  <c r="AG75" i="8" s="1"/>
  <c r="J76" i="4"/>
  <c r="AG76" i="8" s="1"/>
  <c r="J77" i="4"/>
  <c r="AG77" i="8" s="1"/>
  <c r="J78" i="4"/>
  <c r="J79" i="4"/>
  <c r="AG79" i="8" s="1"/>
  <c r="J80" i="4"/>
  <c r="J81" i="4"/>
  <c r="AG81" i="8" s="1"/>
  <c r="J82" i="4"/>
  <c r="AG82" i="8" s="1"/>
  <c r="L11" i="6"/>
  <c r="AF11" i="8" s="1"/>
  <c r="L12" i="6"/>
  <c r="AF12" i="8" s="1"/>
  <c r="L13" i="6"/>
  <c r="L14" i="6"/>
  <c r="AF14" i="8" s="1"/>
  <c r="L15" i="6"/>
  <c r="AF15" i="8" s="1"/>
  <c r="L16" i="6"/>
  <c r="AF16" i="8" s="1"/>
  <c r="L17" i="6"/>
  <c r="AF17" i="8" s="1"/>
  <c r="L18" i="6"/>
  <c r="AF18" i="8" s="1"/>
  <c r="L19" i="6"/>
  <c r="AF19" i="8" s="1"/>
  <c r="L20" i="6"/>
  <c r="AF20" i="8" s="1"/>
  <c r="L21" i="6"/>
  <c r="L22" i="6"/>
  <c r="AF22" i="8" s="1"/>
  <c r="L23" i="6"/>
  <c r="L24" i="6"/>
  <c r="AF24" i="8" s="1"/>
  <c r="L25" i="6"/>
  <c r="AF25" i="8" s="1"/>
  <c r="L26" i="6"/>
  <c r="AF26" i="8" s="1"/>
  <c r="L27" i="6"/>
  <c r="AF27" i="8" s="1"/>
  <c r="L28" i="6"/>
  <c r="L29" i="6"/>
  <c r="AF29" i="8" s="1"/>
  <c r="L30" i="6"/>
  <c r="AF30" i="8" s="1"/>
  <c r="L31" i="6"/>
  <c r="AF31" i="8" s="1"/>
  <c r="L32" i="6"/>
  <c r="AF32" i="8" s="1"/>
  <c r="L33" i="6"/>
  <c r="L34" i="6"/>
  <c r="AF34" i="8" s="1"/>
  <c r="L35" i="6"/>
  <c r="AF35" i="8" s="1"/>
  <c r="L36" i="6"/>
  <c r="AF36" i="8" s="1"/>
  <c r="L37" i="6"/>
  <c r="AF37" i="8" s="1"/>
  <c r="L38" i="6"/>
  <c r="L39" i="6"/>
  <c r="AF39" i="8" s="1"/>
  <c r="L40" i="6"/>
  <c r="AF40" i="8" s="1"/>
  <c r="L41" i="6"/>
  <c r="AF41" i="8" s="1"/>
  <c r="L42" i="6"/>
  <c r="AF42" i="8" s="1"/>
  <c r="L43" i="6"/>
  <c r="L44" i="6"/>
  <c r="AF44" i="8" s="1"/>
  <c r="L45" i="6"/>
  <c r="AF45" i="8" s="1"/>
  <c r="L46" i="6"/>
  <c r="AF46" i="8" s="1"/>
  <c r="L47" i="6"/>
  <c r="AF47" i="8" s="1"/>
  <c r="L48" i="6"/>
  <c r="L49" i="6"/>
  <c r="AF49" i="8" s="1"/>
  <c r="L50" i="6"/>
  <c r="AF50" i="8" s="1"/>
  <c r="L51" i="6"/>
  <c r="AF51" i="8" s="1"/>
  <c r="L52" i="6"/>
  <c r="AF52" i="8" s="1"/>
  <c r="L53" i="6"/>
  <c r="L54" i="6"/>
  <c r="AF54" i="8" s="1"/>
  <c r="L55" i="6"/>
  <c r="AF55" i="8" s="1"/>
  <c r="L56" i="6"/>
  <c r="AF56" i="8" s="1"/>
  <c r="L57" i="6"/>
  <c r="AF57" i="8" s="1"/>
  <c r="L58" i="6"/>
  <c r="L59" i="6"/>
  <c r="AF59" i="8" s="1"/>
  <c r="L60" i="6"/>
  <c r="AF60" i="8" s="1"/>
  <c r="L61" i="6"/>
  <c r="AF61" i="8" s="1"/>
  <c r="L62" i="6"/>
  <c r="AF62" i="8" s="1"/>
  <c r="L63" i="6"/>
  <c r="L64" i="6"/>
  <c r="AF64" i="8" s="1"/>
  <c r="L65" i="6"/>
  <c r="AF65" i="8" s="1"/>
  <c r="L66" i="6"/>
  <c r="AF66" i="8" s="1"/>
  <c r="L67" i="6"/>
  <c r="AF67" i="8" s="1"/>
  <c r="L68" i="6"/>
  <c r="L69" i="6"/>
  <c r="AF69" i="8" s="1"/>
  <c r="L70" i="6"/>
  <c r="AF70" i="8" s="1"/>
  <c r="L71" i="6"/>
  <c r="AF71" i="8" s="1"/>
  <c r="L72" i="6"/>
  <c r="AF72" i="8" s="1"/>
  <c r="L73" i="6"/>
  <c r="L74" i="6"/>
  <c r="AF74" i="8" s="1"/>
  <c r="L75" i="6"/>
  <c r="AF75" i="8" s="1"/>
  <c r="L76" i="6"/>
  <c r="AF76" i="8" s="1"/>
  <c r="L77" i="6"/>
  <c r="AF77" i="8" s="1"/>
  <c r="L78" i="6"/>
  <c r="L79" i="6"/>
  <c r="AF79" i="8" s="1"/>
  <c r="L80" i="6"/>
  <c r="AF80" i="8" s="1"/>
  <c r="L81" i="6"/>
  <c r="AF81" i="8" s="1"/>
  <c r="L82" i="6"/>
  <c r="AF82" i="8" s="1"/>
  <c r="AG24" i="8"/>
  <c r="AG44" i="8"/>
  <c r="AG52" i="8"/>
  <c r="AG56" i="8"/>
  <c r="AG68" i="8"/>
  <c r="AG72" i="8"/>
  <c r="AG80" i="8"/>
  <c r="AG28" i="8" l="1"/>
  <c r="AH58" i="8"/>
  <c r="L58" i="5"/>
  <c r="AF73" i="8"/>
  <c r="M73" i="6"/>
  <c r="AF33" i="8"/>
  <c r="M33" i="6"/>
  <c r="AG73" i="8"/>
  <c r="K73" i="4"/>
  <c r="AG33" i="8"/>
  <c r="K33" i="4"/>
  <c r="AH73" i="8"/>
  <c r="L73" i="5"/>
  <c r="AH33" i="8"/>
  <c r="L33" i="5"/>
  <c r="AF48" i="8"/>
  <c r="M48" i="6"/>
  <c r="AG48" i="8"/>
  <c r="K48" i="4"/>
  <c r="AH48" i="8"/>
  <c r="L48" i="5"/>
  <c r="AF63" i="8"/>
  <c r="M63" i="6"/>
  <c r="AF23" i="8"/>
  <c r="M23" i="6"/>
  <c r="AG23" i="8"/>
  <c r="K23" i="4"/>
  <c r="AF78" i="8"/>
  <c r="M78" i="6"/>
  <c r="AF38" i="8"/>
  <c r="M38" i="6"/>
  <c r="AG78" i="8"/>
  <c r="K78" i="4"/>
  <c r="AG38" i="8"/>
  <c r="K38" i="4"/>
  <c r="AH78" i="8"/>
  <c r="L78" i="5"/>
  <c r="AH38" i="8"/>
  <c r="L38" i="5"/>
  <c r="AF58" i="8"/>
  <c r="M58" i="6"/>
  <c r="AG58" i="8"/>
  <c r="K58" i="4"/>
  <c r="AF53" i="8"/>
  <c r="M53" i="6"/>
  <c r="AG53" i="8"/>
  <c r="K53" i="4"/>
  <c r="AH53" i="8"/>
  <c r="L53" i="5"/>
  <c r="AH23" i="8"/>
  <c r="L23" i="5"/>
  <c r="AF68" i="8"/>
  <c r="M68" i="6"/>
  <c r="AF28" i="8"/>
  <c r="M28" i="6"/>
  <c r="AH68" i="8"/>
  <c r="L68" i="5"/>
  <c r="AH28" i="8"/>
  <c r="L28" i="5"/>
  <c r="AG63" i="8"/>
  <c r="K63" i="4"/>
  <c r="AH63" i="8"/>
  <c r="L63" i="5"/>
  <c r="AF43" i="8"/>
  <c r="M43" i="6"/>
  <c r="AG43" i="8"/>
  <c r="K43" i="4"/>
  <c r="AH43" i="8"/>
  <c r="L43" i="5"/>
  <c r="AH13" i="8"/>
  <c r="L13" i="5"/>
  <c r="AH21" i="8"/>
  <c r="L18" i="5"/>
  <c r="AG21" i="8"/>
  <c r="K18" i="4"/>
  <c r="AF13" i="8"/>
  <c r="M13" i="6"/>
  <c r="AF21" i="8"/>
  <c r="M18" i="6"/>
  <c r="AG14" i="8"/>
  <c r="K13" i="4"/>
  <c r="K10" i="5"/>
  <c r="K9" i="5"/>
  <c r="AH9" i="8" s="1"/>
  <c r="K8" i="5"/>
  <c r="AH8" i="8" s="1"/>
  <c r="K7" i="5"/>
  <c r="AH7" i="8" s="1"/>
  <c r="K6" i="5"/>
  <c r="K5" i="5"/>
  <c r="AH5" i="8" s="1"/>
  <c r="K4" i="5"/>
  <c r="AH4" i="8" s="1"/>
  <c r="AH3" i="8"/>
  <c r="J10" i="4"/>
  <c r="AG10" i="8" s="1"/>
  <c r="J9" i="4"/>
  <c r="J8" i="4"/>
  <c r="AG8" i="8" s="1"/>
  <c r="J7" i="4"/>
  <c r="AG7" i="8" s="1"/>
  <c r="J6" i="4"/>
  <c r="AG6" i="8" s="1"/>
  <c r="J5" i="4"/>
  <c r="J4" i="4"/>
  <c r="AG4" i="8" s="1"/>
  <c r="AG3" i="8"/>
  <c r="AH6" i="8" l="1"/>
  <c r="L3" i="5"/>
  <c r="AH10" i="8"/>
  <c r="L8" i="5"/>
  <c r="AG9" i="8"/>
  <c r="K8" i="4"/>
  <c r="AG5" i="8"/>
  <c r="K3" i="4"/>
  <c r="L10" i="6"/>
  <c r="L9" i="6"/>
  <c r="AF9" i="8" s="1"/>
  <c r="L8" i="6"/>
  <c r="AF8" i="8" s="1"/>
  <c r="L7" i="6"/>
  <c r="AF7" i="8" s="1"/>
  <c r="L6" i="6"/>
  <c r="AF6" i="8" s="1"/>
  <c r="L5" i="6"/>
  <c r="L4" i="6"/>
  <c r="AF4" i="8" s="1"/>
  <c r="L3" i="6"/>
  <c r="AF3" i="8" s="1"/>
  <c r="S4" i="3"/>
  <c r="W4" i="3" s="1"/>
  <c r="S5" i="3"/>
  <c r="W5" i="3" s="1"/>
  <c r="S6" i="3"/>
  <c r="W6" i="3" s="1"/>
  <c r="S7" i="3"/>
  <c r="W7" i="3" s="1"/>
  <c r="S8" i="3"/>
  <c r="W8" i="3" s="1"/>
  <c r="S9" i="3"/>
  <c r="W9" i="3" s="1"/>
  <c r="S10" i="3"/>
  <c r="W10" i="3" s="1"/>
  <c r="S11" i="3"/>
  <c r="W11" i="3" s="1"/>
  <c r="S12" i="3"/>
  <c r="W12" i="3" s="1"/>
  <c r="S13" i="3"/>
  <c r="W13" i="3" s="1"/>
  <c r="S14" i="3"/>
  <c r="W14" i="3" s="1"/>
  <c r="S15" i="3"/>
  <c r="W15" i="3" s="1"/>
  <c r="S16" i="3"/>
  <c r="W16" i="3" s="1"/>
  <c r="S17" i="3"/>
  <c r="W17" i="3" s="1"/>
  <c r="S18" i="3"/>
  <c r="W18" i="3" s="1"/>
  <c r="S19" i="3"/>
  <c r="W19" i="3" s="1"/>
  <c r="S20" i="3"/>
  <c r="W20" i="3" s="1"/>
  <c r="S21" i="3"/>
  <c r="W21" i="3" s="1"/>
  <c r="S22" i="3"/>
  <c r="W22" i="3" s="1"/>
  <c r="S23" i="3"/>
  <c r="W23" i="3" s="1"/>
  <c r="S24" i="3"/>
  <c r="W24" i="3" s="1"/>
  <c r="S25" i="3"/>
  <c r="W25" i="3" s="1"/>
  <c r="S26" i="3"/>
  <c r="W26" i="3" s="1"/>
  <c r="S27" i="3"/>
  <c r="W27" i="3" s="1"/>
  <c r="S28" i="3"/>
  <c r="W28" i="3" s="1"/>
  <c r="S29" i="3"/>
  <c r="W29" i="3" s="1"/>
  <c r="S30" i="3"/>
  <c r="W30" i="3" s="1"/>
  <c r="S31" i="3"/>
  <c r="W31" i="3" s="1"/>
  <c r="S32" i="3"/>
  <c r="W32" i="3" s="1"/>
  <c r="S33" i="3"/>
  <c r="W33" i="3" s="1"/>
  <c r="S34" i="3"/>
  <c r="W34" i="3" s="1"/>
  <c r="S35" i="3"/>
  <c r="W35" i="3" s="1"/>
  <c r="S36" i="3"/>
  <c r="W36" i="3" s="1"/>
  <c r="S37" i="3"/>
  <c r="W37" i="3" s="1"/>
  <c r="S38" i="3"/>
  <c r="W38" i="3" s="1"/>
  <c r="S39" i="3"/>
  <c r="W39" i="3" s="1"/>
  <c r="S40" i="3"/>
  <c r="W40" i="3" s="1"/>
  <c r="S41" i="3"/>
  <c r="W41" i="3" s="1"/>
  <c r="S42" i="3"/>
  <c r="W42" i="3" s="1"/>
  <c r="S43" i="3"/>
  <c r="W43" i="3" s="1"/>
  <c r="S44" i="3"/>
  <c r="W44" i="3" s="1"/>
  <c r="S45" i="3"/>
  <c r="W45" i="3" s="1"/>
  <c r="S46" i="3"/>
  <c r="W46" i="3" s="1"/>
  <c r="S47" i="3"/>
  <c r="W47" i="3" s="1"/>
  <c r="S48" i="3"/>
  <c r="W48" i="3" s="1"/>
  <c r="S49" i="3"/>
  <c r="W49" i="3" s="1"/>
  <c r="S50" i="3"/>
  <c r="W50" i="3" s="1"/>
  <c r="S51" i="3"/>
  <c r="W51" i="3" s="1"/>
  <c r="S52" i="3"/>
  <c r="W52" i="3" s="1"/>
  <c r="S53" i="3"/>
  <c r="W53" i="3" s="1"/>
  <c r="S54" i="3"/>
  <c r="W54" i="3" s="1"/>
  <c r="S55" i="3"/>
  <c r="W55" i="3" s="1"/>
  <c r="S56" i="3"/>
  <c r="W56" i="3" s="1"/>
  <c r="S57" i="3"/>
  <c r="W57" i="3" s="1"/>
  <c r="S58" i="3"/>
  <c r="W58" i="3" s="1"/>
  <c r="S59" i="3"/>
  <c r="W59" i="3" s="1"/>
  <c r="S60" i="3"/>
  <c r="W60" i="3" s="1"/>
  <c r="S61" i="3"/>
  <c r="W61" i="3" s="1"/>
  <c r="S62" i="3"/>
  <c r="W62" i="3" s="1"/>
  <c r="S63" i="3"/>
  <c r="W63" i="3" s="1"/>
  <c r="S64" i="3"/>
  <c r="W64" i="3" s="1"/>
  <c r="S65" i="3"/>
  <c r="W65" i="3" s="1"/>
  <c r="S66" i="3"/>
  <c r="W66" i="3" s="1"/>
  <c r="S67" i="3"/>
  <c r="W67" i="3" s="1"/>
  <c r="S68" i="3"/>
  <c r="W68" i="3" s="1"/>
  <c r="S69" i="3"/>
  <c r="W69" i="3" s="1"/>
  <c r="S70" i="3"/>
  <c r="W70" i="3" s="1"/>
  <c r="S71" i="3"/>
  <c r="W71" i="3" s="1"/>
  <c r="S72" i="3"/>
  <c r="W72" i="3" s="1"/>
  <c r="S73" i="3"/>
  <c r="W73" i="3" s="1"/>
  <c r="S74" i="3"/>
  <c r="W74" i="3" s="1"/>
  <c r="S75" i="3"/>
  <c r="W75" i="3" s="1"/>
  <c r="S76" i="3"/>
  <c r="W76" i="3" s="1"/>
  <c r="S77" i="3"/>
  <c r="W77" i="3" s="1"/>
  <c r="S78" i="3"/>
  <c r="W78" i="3" s="1"/>
  <c r="S79" i="3"/>
  <c r="W79" i="3" s="1"/>
  <c r="S80" i="3"/>
  <c r="W80" i="3" s="1"/>
  <c r="S81" i="3"/>
  <c r="W81" i="3" s="1"/>
  <c r="S82" i="3"/>
  <c r="W82" i="3" s="1"/>
  <c r="S3" i="3"/>
  <c r="W3" i="3" s="1"/>
  <c r="M4" i="3"/>
  <c r="V4" i="3" s="1"/>
  <c r="M5" i="3"/>
  <c r="V5" i="3" s="1"/>
  <c r="M6" i="3"/>
  <c r="V6" i="3" s="1"/>
  <c r="M7" i="3"/>
  <c r="V7" i="3" s="1"/>
  <c r="M8" i="3"/>
  <c r="V8" i="3" s="1"/>
  <c r="M9" i="3"/>
  <c r="V9" i="3" s="1"/>
  <c r="M10" i="3"/>
  <c r="V10" i="3" s="1"/>
  <c r="M11" i="3"/>
  <c r="V11" i="3" s="1"/>
  <c r="AE11" i="8" s="1"/>
  <c r="M12" i="3"/>
  <c r="V12" i="3" s="1"/>
  <c r="AE12" i="8" s="1"/>
  <c r="M13" i="3"/>
  <c r="V13" i="3" s="1"/>
  <c r="M14" i="3"/>
  <c r="V14" i="3" s="1"/>
  <c r="M15" i="3"/>
  <c r="V15" i="3" s="1"/>
  <c r="M16" i="3"/>
  <c r="V16" i="3" s="1"/>
  <c r="M17" i="3"/>
  <c r="V17" i="3" s="1"/>
  <c r="AE17" i="8" s="1"/>
  <c r="M18" i="3"/>
  <c r="V18" i="3" s="1"/>
  <c r="M19" i="3"/>
  <c r="V19" i="3" s="1"/>
  <c r="M20" i="3"/>
  <c r="V20" i="3" s="1"/>
  <c r="M21" i="3"/>
  <c r="V21" i="3" s="1"/>
  <c r="M22" i="3"/>
  <c r="V22" i="3" s="1"/>
  <c r="AE22" i="8" s="1"/>
  <c r="M23" i="3"/>
  <c r="V23" i="3" s="1"/>
  <c r="AE23" i="8" s="1"/>
  <c r="M24" i="3"/>
  <c r="V24" i="3" s="1"/>
  <c r="AE24" i="8" s="1"/>
  <c r="M25" i="3"/>
  <c r="V25" i="3" s="1"/>
  <c r="AE25" i="8" s="1"/>
  <c r="M26" i="3"/>
  <c r="V26" i="3" s="1"/>
  <c r="AE26" i="8" s="1"/>
  <c r="M27" i="3"/>
  <c r="V27" i="3" s="1"/>
  <c r="AE27" i="8" s="1"/>
  <c r="M28" i="3"/>
  <c r="V28" i="3" s="1"/>
  <c r="AE28" i="8" s="1"/>
  <c r="M29" i="3"/>
  <c r="V29" i="3" s="1"/>
  <c r="AE29" i="8" s="1"/>
  <c r="M30" i="3"/>
  <c r="V30" i="3" s="1"/>
  <c r="AE30" i="8" s="1"/>
  <c r="M31" i="3"/>
  <c r="V31" i="3" s="1"/>
  <c r="AE31" i="8" s="1"/>
  <c r="M32" i="3"/>
  <c r="V32" i="3" s="1"/>
  <c r="AE32" i="8" s="1"/>
  <c r="M33" i="3"/>
  <c r="V33" i="3" s="1"/>
  <c r="AE33" i="8" s="1"/>
  <c r="M34" i="3"/>
  <c r="V34" i="3" s="1"/>
  <c r="AE34" i="8" s="1"/>
  <c r="M35" i="3"/>
  <c r="V35" i="3" s="1"/>
  <c r="AE35" i="8" s="1"/>
  <c r="M36" i="3"/>
  <c r="V36" i="3" s="1"/>
  <c r="AE36" i="8" s="1"/>
  <c r="M37" i="3"/>
  <c r="V37" i="3" s="1"/>
  <c r="AE37" i="8" s="1"/>
  <c r="M38" i="3"/>
  <c r="V38" i="3" s="1"/>
  <c r="AE38" i="8" s="1"/>
  <c r="M39" i="3"/>
  <c r="V39" i="3" s="1"/>
  <c r="AE39" i="8" s="1"/>
  <c r="M40" i="3"/>
  <c r="V40" i="3" s="1"/>
  <c r="AE40" i="8" s="1"/>
  <c r="M41" i="3"/>
  <c r="V41" i="3" s="1"/>
  <c r="AE41" i="8" s="1"/>
  <c r="M42" i="3"/>
  <c r="V42" i="3" s="1"/>
  <c r="AE42" i="8" s="1"/>
  <c r="M43" i="3"/>
  <c r="V43" i="3" s="1"/>
  <c r="AE43" i="8" s="1"/>
  <c r="M44" i="3"/>
  <c r="V44" i="3" s="1"/>
  <c r="AE44" i="8" s="1"/>
  <c r="M45" i="3"/>
  <c r="V45" i="3" s="1"/>
  <c r="AE45" i="8" s="1"/>
  <c r="M46" i="3"/>
  <c r="V46" i="3" s="1"/>
  <c r="AE46" i="8" s="1"/>
  <c r="M47" i="3"/>
  <c r="V47" i="3" s="1"/>
  <c r="AE47" i="8" s="1"/>
  <c r="M48" i="3"/>
  <c r="V48" i="3" s="1"/>
  <c r="AE48" i="8" s="1"/>
  <c r="M49" i="3"/>
  <c r="V49" i="3" s="1"/>
  <c r="AE49" i="8" s="1"/>
  <c r="M50" i="3"/>
  <c r="V50" i="3" s="1"/>
  <c r="AE50" i="8" s="1"/>
  <c r="M51" i="3"/>
  <c r="V51" i="3" s="1"/>
  <c r="AE51" i="8" s="1"/>
  <c r="M52" i="3"/>
  <c r="V52" i="3" s="1"/>
  <c r="AE52" i="8" s="1"/>
  <c r="M53" i="3"/>
  <c r="V53" i="3" s="1"/>
  <c r="AE53" i="8" s="1"/>
  <c r="M54" i="3"/>
  <c r="V54" i="3" s="1"/>
  <c r="AE54" i="8" s="1"/>
  <c r="M55" i="3"/>
  <c r="V55" i="3" s="1"/>
  <c r="AE55" i="8" s="1"/>
  <c r="M56" i="3"/>
  <c r="V56" i="3" s="1"/>
  <c r="AE56" i="8" s="1"/>
  <c r="M57" i="3"/>
  <c r="V57" i="3" s="1"/>
  <c r="AE57" i="8" s="1"/>
  <c r="M58" i="3"/>
  <c r="V58" i="3" s="1"/>
  <c r="AE58" i="8" s="1"/>
  <c r="M59" i="3"/>
  <c r="V59" i="3" s="1"/>
  <c r="AE59" i="8" s="1"/>
  <c r="M60" i="3"/>
  <c r="V60" i="3" s="1"/>
  <c r="AE60" i="8" s="1"/>
  <c r="M61" i="3"/>
  <c r="V61" i="3" s="1"/>
  <c r="AE61" i="8" s="1"/>
  <c r="M62" i="3"/>
  <c r="V62" i="3" s="1"/>
  <c r="AE62" i="8" s="1"/>
  <c r="M63" i="3"/>
  <c r="V63" i="3" s="1"/>
  <c r="AE63" i="8" s="1"/>
  <c r="M64" i="3"/>
  <c r="V64" i="3" s="1"/>
  <c r="AE64" i="8" s="1"/>
  <c r="M65" i="3"/>
  <c r="V65" i="3" s="1"/>
  <c r="AE65" i="8" s="1"/>
  <c r="M66" i="3"/>
  <c r="V66" i="3" s="1"/>
  <c r="AE66" i="8" s="1"/>
  <c r="M67" i="3"/>
  <c r="V67" i="3" s="1"/>
  <c r="AE67" i="8" s="1"/>
  <c r="M68" i="3"/>
  <c r="V68" i="3" s="1"/>
  <c r="AE68" i="8" s="1"/>
  <c r="M69" i="3"/>
  <c r="V69" i="3" s="1"/>
  <c r="AE69" i="8" s="1"/>
  <c r="M70" i="3"/>
  <c r="V70" i="3" s="1"/>
  <c r="AE70" i="8" s="1"/>
  <c r="M71" i="3"/>
  <c r="V71" i="3" s="1"/>
  <c r="AE71" i="8" s="1"/>
  <c r="M72" i="3"/>
  <c r="V72" i="3" s="1"/>
  <c r="AE72" i="8" s="1"/>
  <c r="M73" i="3"/>
  <c r="V73" i="3" s="1"/>
  <c r="AE73" i="8" s="1"/>
  <c r="M74" i="3"/>
  <c r="V74" i="3" s="1"/>
  <c r="AE74" i="8" s="1"/>
  <c r="M75" i="3"/>
  <c r="V75" i="3" s="1"/>
  <c r="AE75" i="8" s="1"/>
  <c r="M76" i="3"/>
  <c r="V76" i="3" s="1"/>
  <c r="AE76" i="8" s="1"/>
  <c r="M77" i="3"/>
  <c r="V77" i="3" s="1"/>
  <c r="AE77" i="8" s="1"/>
  <c r="M78" i="3"/>
  <c r="V78" i="3" s="1"/>
  <c r="AE78" i="8" s="1"/>
  <c r="M79" i="3"/>
  <c r="V79" i="3" s="1"/>
  <c r="AE79" i="8" s="1"/>
  <c r="M80" i="3"/>
  <c r="V80" i="3" s="1"/>
  <c r="AE80" i="8" s="1"/>
  <c r="M81" i="3"/>
  <c r="V81" i="3" s="1"/>
  <c r="AE81" i="8" s="1"/>
  <c r="M82" i="3"/>
  <c r="V82" i="3" s="1"/>
  <c r="AE82" i="8" s="1"/>
  <c r="M3" i="3"/>
  <c r="V3" i="3" s="1"/>
  <c r="X3" i="3" s="1"/>
  <c r="AE3" i="8" s="1"/>
  <c r="AI3" i="8" s="1"/>
  <c r="AL3" i="8" s="1"/>
  <c r="B5" i="3"/>
  <c r="B4" i="3"/>
  <c r="B3" i="3"/>
  <c r="A3" i="3"/>
  <c r="A10" i="3"/>
  <c r="A9" i="3"/>
  <c r="A6" i="3"/>
  <c r="A5" i="3"/>
  <c r="A4" i="3"/>
  <c r="AF10" i="8" l="1"/>
  <c r="M8" i="6"/>
  <c r="AF5" i="8"/>
  <c r="M3" i="6"/>
  <c r="X4" i="3"/>
  <c r="AE4" i="8" s="1"/>
  <c r="AI4" i="8" s="1"/>
  <c r="AI75" i="8"/>
  <c r="X75" i="3"/>
  <c r="AI67" i="8"/>
  <c r="X67" i="3"/>
  <c r="AI59" i="8"/>
  <c r="X59" i="3"/>
  <c r="AI51" i="8"/>
  <c r="X51" i="3"/>
  <c r="AI43" i="8"/>
  <c r="X43" i="3"/>
  <c r="Y43" i="3" s="1"/>
  <c r="AI35" i="8"/>
  <c r="X35" i="3"/>
  <c r="AI27" i="8"/>
  <c r="X27" i="3"/>
  <c r="X19" i="3"/>
  <c r="AE19" i="8" s="1"/>
  <c r="AI19" i="8" s="1"/>
  <c r="AI11" i="8"/>
  <c r="X11" i="3"/>
  <c r="AI78" i="8"/>
  <c r="X78" i="3"/>
  <c r="Y78" i="3" s="1"/>
  <c r="AI70" i="8"/>
  <c r="X70" i="3"/>
  <c r="AI62" i="8"/>
  <c r="X62" i="3"/>
  <c r="AI54" i="8"/>
  <c r="X54" i="3"/>
  <c r="AI46" i="8"/>
  <c r="X46" i="3"/>
  <c r="AI38" i="8"/>
  <c r="X38" i="3"/>
  <c r="Y38" i="3" s="1"/>
  <c r="AI30" i="8"/>
  <c r="X30" i="3"/>
  <c r="AI22" i="8"/>
  <c r="X22" i="3"/>
  <c r="X14" i="3"/>
  <c r="AE14" i="8" s="1"/>
  <c r="AI14" i="8" s="1"/>
  <c r="X6" i="3"/>
  <c r="AE6" i="8" s="1"/>
  <c r="AI6" i="8" s="1"/>
  <c r="AI81" i="8"/>
  <c r="X81" i="3"/>
  <c r="AI77" i="8"/>
  <c r="X77" i="3"/>
  <c r="AI73" i="8"/>
  <c r="X73" i="3"/>
  <c r="Y73" i="3" s="1"/>
  <c r="AI69" i="8"/>
  <c r="X69" i="3"/>
  <c r="AI65" i="8"/>
  <c r="X65" i="3"/>
  <c r="AI61" i="8"/>
  <c r="X61" i="3"/>
  <c r="AI57" i="8"/>
  <c r="X57" i="3"/>
  <c r="AI53" i="8"/>
  <c r="X53" i="3"/>
  <c r="Y53" i="3" s="1"/>
  <c r="AI49" i="8"/>
  <c r="X49" i="3"/>
  <c r="AI45" i="8"/>
  <c r="X45" i="3"/>
  <c r="AI41" i="8"/>
  <c r="X41" i="3"/>
  <c r="AI37" i="8"/>
  <c r="X37" i="3"/>
  <c r="AI33" i="8"/>
  <c r="X33" i="3"/>
  <c r="Y33" i="3" s="1"/>
  <c r="AI29" i="8"/>
  <c r="X29" i="3"/>
  <c r="AI25" i="8"/>
  <c r="X25" i="3"/>
  <c r="X21" i="3"/>
  <c r="AE21" i="8" s="1"/>
  <c r="AI17" i="8"/>
  <c r="X17" i="3"/>
  <c r="X13" i="3"/>
  <c r="AE13" i="8" s="1"/>
  <c r="AI13" i="8" s="1"/>
  <c r="X5" i="3"/>
  <c r="AI79" i="8"/>
  <c r="X79" i="3"/>
  <c r="AI71" i="8"/>
  <c r="X71" i="3"/>
  <c r="AI63" i="8"/>
  <c r="X63" i="3"/>
  <c r="Y63" i="3" s="1"/>
  <c r="AI55" i="8"/>
  <c r="X55" i="3"/>
  <c r="AI47" i="8"/>
  <c r="X47" i="3"/>
  <c r="AI39" i="8"/>
  <c r="X39" i="3"/>
  <c r="AI31" i="8"/>
  <c r="X31" i="3"/>
  <c r="AI23" i="8"/>
  <c r="X23" i="3"/>
  <c r="Y23" i="3" s="1"/>
  <c r="X15" i="3"/>
  <c r="AI82" i="8"/>
  <c r="X82" i="3"/>
  <c r="AI74" i="8"/>
  <c r="X74" i="3"/>
  <c r="AI66" i="8"/>
  <c r="X66" i="3"/>
  <c r="AI58" i="8"/>
  <c r="X58" i="3"/>
  <c r="Y58" i="3" s="1"/>
  <c r="AI50" i="8"/>
  <c r="X50" i="3"/>
  <c r="AI42" i="8"/>
  <c r="X42" i="3"/>
  <c r="AI34" i="8"/>
  <c r="X34" i="3"/>
  <c r="AI26" i="8"/>
  <c r="X26" i="3"/>
  <c r="X18" i="3"/>
  <c r="AE18" i="8" s="1"/>
  <c r="AI18" i="8" s="1"/>
  <c r="AI80" i="8"/>
  <c r="X80" i="3"/>
  <c r="AI76" i="8"/>
  <c r="X76" i="3"/>
  <c r="AI72" i="8"/>
  <c r="X72" i="3"/>
  <c r="AI68" i="8"/>
  <c r="X68" i="3"/>
  <c r="Y68" i="3" s="1"/>
  <c r="AI64" i="8"/>
  <c r="X64" i="3"/>
  <c r="AI60" i="8"/>
  <c r="X60" i="3"/>
  <c r="AI56" i="8"/>
  <c r="X56" i="3"/>
  <c r="AI52" i="8"/>
  <c r="X52" i="3"/>
  <c r="AI48" i="8"/>
  <c r="X48" i="3"/>
  <c r="Y48" i="3" s="1"/>
  <c r="AI44" i="8"/>
  <c r="X44" i="3"/>
  <c r="AI40" i="8"/>
  <c r="X40" i="3"/>
  <c r="AI36" i="8"/>
  <c r="X36" i="3"/>
  <c r="AI32" i="8"/>
  <c r="X32" i="3"/>
  <c r="AI28" i="8"/>
  <c r="X28" i="3"/>
  <c r="Y28" i="3" s="1"/>
  <c r="AI24" i="8"/>
  <c r="X24" i="3"/>
  <c r="X20" i="3"/>
  <c r="X16" i="3"/>
  <c r="AE16" i="8" s="1"/>
  <c r="AI12" i="8"/>
  <c r="X12" i="3"/>
  <c r="X10" i="3"/>
  <c r="X9" i="3"/>
  <c r="AE9" i="8" s="1"/>
  <c r="AI9" i="8" s="1"/>
  <c r="X8" i="3"/>
  <c r="AE8" i="8" s="1"/>
  <c r="X7" i="3"/>
  <c r="AE7" i="8" s="1"/>
  <c r="AI7" i="8" s="1"/>
  <c r="Q7" i="2"/>
  <c r="S7" i="2" s="1"/>
  <c r="Q6" i="2"/>
  <c r="S6" i="2" s="1"/>
  <c r="Q5" i="2"/>
  <c r="S5" i="2" s="1"/>
  <c r="Q4" i="2"/>
  <c r="S4" i="2" s="1"/>
  <c r="R7" i="2" l="1"/>
  <c r="AO6" i="8" s="1"/>
  <c r="AN6" i="8"/>
  <c r="R4" i="2"/>
  <c r="AO3" i="8" s="1"/>
  <c r="AR3" i="8" s="1"/>
  <c r="AN3" i="8"/>
  <c r="R5" i="2"/>
  <c r="AO4" i="8" s="1"/>
  <c r="AR4" i="8" s="1"/>
  <c r="AN4" i="8"/>
  <c r="R6" i="2"/>
  <c r="AO5" i="8" s="1"/>
  <c r="AN5" i="8"/>
  <c r="AE20" i="8"/>
  <c r="AI20" i="8" s="1"/>
  <c r="AL20" i="8" s="1"/>
  <c r="AR20" i="8" s="1"/>
  <c r="Y18" i="3"/>
  <c r="AU18" i="8" s="1"/>
  <c r="E6" i="10" s="1"/>
  <c r="AE15" i="8"/>
  <c r="AI15" i="8" s="1"/>
  <c r="AL15" i="8" s="1"/>
  <c r="AR15" i="8" s="1"/>
  <c r="Y13" i="3"/>
  <c r="AU13" i="8" s="1"/>
  <c r="E5" i="10" s="1"/>
  <c r="AE10" i="8"/>
  <c r="AI10" i="8" s="1"/>
  <c r="AL10" i="8" s="1"/>
  <c r="AR10" i="8" s="1"/>
  <c r="Y8" i="3"/>
  <c r="AU8" i="8" s="1"/>
  <c r="E4" i="10" s="1"/>
  <c r="AE5" i="8"/>
  <c r="AI5" i="8" s="1"/>
  <c r="Y3" i="3"/>
  <c r="AL24" i="8"/>
  <c r="AR24" i="8"/>
  <c r="AL48" i="8"/>
  <c r="AR48" i="8"/>
  <c r="P48" i="8" s="1"/>
  <c r="O48" i="8" s="1"/>
  <c r="AL64" i="8"/>
  <c r="AR64" i="8"/>
  <c r="B64" i="8" s="1"/>
  <c r="A64" i="8" s="1"/>
  <c r="AL80" i="8"/>
  <c r="AR80" i="8"/>
  <c r="P80" i="8" s="1"/>
  <c r="O80" i="8" s="1"/>
  <c r="AR39" i="8"/>
  <c r="AL39" i="8"/>
  <c r="AL13" i="8"/>
  <c r="AR13" i="8"/>
  <c r="F13" i="8" s="1"/>
  <c r="E13" i="8" s="1"/>
  <c r="AR27" i="8"/>
  <c r="T27" i="8" s="1"/>
  <c r="S27" i="8" s="1"/>
  <c r="AL27" i="8"/>
  <c r="AR59" i="8"/>
  <c r="AL59" i="8"/>
  <c r="AR75" i="8"/>
  <c r="AL75" i="8"/>
  <c r="AL4" i="8"/>
  <c r="AL9" i="8"/>
  <c r="AR9" i="8" s="1"/>
  <c r="AL18" i="8"/>
  <c r="AR18" i="8" s="1"/>
  <c r="AL34" i="8"/>
  <c r="AR34" i="8"/>
  <c r="X34" i="8" s="1"/>
  <c r="W34" i="8" s="1"/>
  <c r="AL50" i="8"/>
  <c r="AR50" i="8"/>
  <c r="T50" i="8" s="1"/>
  <c r="S50" i="8" s="1"/>
  <c r="AL66" i="8"/>
  <c r="AR66" i="8"/>
  <c r="AL82" i="8"/>
  <c r="AR82" i="8"/>
  <c r="T82" i="8" s="1"/>
  <c r="S82" i="8" s="1"/>
  <c r="AL25" i="8"/>
  <c r="AR25" i="8"/>
  <c r="B25" i="8" s="1"/>
  <c r="A25" i="8" s="1"/>
  <c r="AR33" i="8"/>
  <c r="H33" i="8" s="1"/>
  <c r="G33" i="8" s="1"/>
  <c r="AL33" i="8"/>
  <c r="AR41" i="8"/>
  <c r="F41" i="8" s="1"/>
  <c r="E41" i="8" s="1"/>
  <c r="AL41" i="8"/>
  <c r="AR49" i="8"/>
  <c r="B49" i="8" s="1"/>
  <c r="A49" i="8" s="1"/>
  <c r="AL49" i="8"/>
  <c r="AR57" i="8"/>
  <c r="B57" i="8" s="1"/>
  <c r="A57" i="8" s="1"/>
  <c r="AL57" i="8"/>
  <c r="AR65" i="8"/>
  <c r="R65" i="8" s="1"/>
  <c r="Q65" i="8" s="1"/>
  <c r="AL65" i="8"/>
  <c r="AR73" i="8"/>
  <c r="F73" i="8" s="1"/>
  <c r="E73" i="8" s="1"/>
  <c r="AL73" i="8"/>
  <c r="AR81" i="8"/>
  <c r="B81" i="8" s="1"/>
  <c r="A81" i="8" s="1"/>
  <c r="AL81" i="8"/>
  <c r="AR22" i="8"/>
  <c r="T22" i="8" s="1"/>
  <c r="S22" i="8" s="1"/>
  <c r="AL22" i="8"/>
  <c r="AL38" i="8"/>
  <c r="AR38" i="8"/>
  <c r="T38" i="8" s="1"/>
  <c r="S38" i="8" s="1"/>
  <c r="AL54" i="8"/>
  <c r="AR54" i="8"/>
  <c r="AL70" i="8"/>
  <c r="AR70" i="8"/>
  <c r="T70" i="8" s="1"/>
  <c r="S70" i="8" s="1"/>
  <c r="AR11" i="8"/>
  <c r="P11" i="8" s="1"/>
  <c r="O11" i="8" s="1"/>
  <c r="AL11" i="8"/>
  <c r="AL12" i="8"/>
  <c r="AR12" i="8"/>
  <c r="F12" i="8" s="1"/>
  <c r="E12" i="8" s="1"/>
  <c r="AL40" i="8"/>
  <c r="AR40" i="8"/>
  <c r="X40" i="8" s="1"/>
  <c r="W40" i="8" s="1"/>
  <c r="AL56" i="8"/>
  <c r="AR56" i="8"/>
  <c r="P56" i="8" s="1"/>
  <c r="O56" i="8" s="1"/>
  <c r="AL72" i="8"/>
  <c r="AR72" i="8"/>
  <c r="X72" i="8" s="1"/>
  <c r="W72" i="8" s="1"/>
  <c r="AR23" i="8"/>
  <c r="V23" i="8" s="1"/>
  <c r="U23" i="8" s="1"/>
  <c r="AL23" i="8"/>
  <c r="AR55" i="8"/>
  <c r="N55" i="8" s="1"/>
  <c r="M55" i="8" s="1"/>
  <c r="AL55" i="8"/>
  <c r="AR71" i="8"/>
  <c r="X71" i="8" s="1"/>
  <c r="W71" i="8" s="1"/>
  <c r="AL71" i="8"/>
  <c r="AR43" i="8"/>
  <c r="P43" i="8" s="1"/>
  <c r="O43" i="8" s="1"/>
  <c r="AL43" i="8"/>
  <c r="AL6" i="8"/>
  <c r="AR6" i="8" s="1"/>
  <c r="AL28" i="8"/>
  <c r="AR28" i="8"/>
  <c r="AL36" i="8"/>
  <c r="AR36" i="8"/>
  <c r="F36" i="8" s="1"/>
  <c r="E36" i="8" s="1"/>
  <c r="AL44" i="8"/>
  <c r="AR44" i="8"/>
  <c r="F44" i="8" s="1"/>
  <c r="E44" i="8" s="1"/>
  <c r="AL52" i="8"/>
  <c r="AR52" i="8"/>
  <c r="X52" i="8" s="1"/>
  <c r="W52" i="8" s="1"/>
  <c r="AL60" i="8"/>
  <c r="AR60" i="8"/>
  <c r="AL68" i="8"/>
  <c r="AR68" i="8"/>
  <c r="X68" i="8" s="1"/>
  <c r="W68" i="8" s="1"/>
  <c r="AL76" i="8"/>
  <c r="AR76" i="8"/>
  <c r="AR31" i="8"/>
  <c r="B31" i="8" s="1"/>
  <c r="A31" i="8" s="1"/>
  <c r="AL31" i="8"/>
  <c r="AR47" i="8"/>
  <c r="AL47" i="8"/>
  <c r="AR63" i="8"/>
  <c r="B63" i="8" s="1"/>
  <c r="A63" i="8" s="1"/>
  <c r="AL63" i="8"/>
  <c r="AR79" i="8"/>
  <c r="AL79" i="8"/>
  <c r="AL17" i="8"/>
  <c r="AR17" i="8"/>
  <c r="R17" i="8" s="1"/>
  <c r="Q17" i="8" s="1"/>
  <c r="AL19" i="8"/>
  <c r="AR19" i="8" s="1"/>
  <c r="AR35" i="8"/>
  <c r="X35" i="8" s="1"/>
  <c r="W35" i="8" s="1"/>
  <c r="AL35" i="8"/>
  <c r="AR51" i="8"/>
  <c r="V51" i="8" s="1"/>
  <c r="U51" i="8" s="1"/>
  <c r="AL51" i="8"/>
  <c r="AR67" i="8"/>
  <c r="N67" i="8" s="1"/>
  <c r="M67" i="8" s="1"/>
  <c r="AL67" i="8"/>
  <c r="AL32" i="8"/>
  <c r="AR32" i="8"/>
  <c r="X32" i="8" s="1"/>
  <c r="W32" i="8" s="1"/>
  <c r="AL7" i="8"/>
  <c r="AR7" i="8"/>
  <c r="AR26" i="8"/>
  <c r="V26" i="8" s="1"/>
  <c r="U26" i="8" s="1"/>
  <c r="AL26" i="8"/>
  <c r="AL42" i="8"/>
  <c r="AR42" i="8"/>
  <c r="B42" i="8" s="1"/>
  <c r="A42" i="8" s="1"/>
  <c r="AL58" i="8"/>
  <c r="AR58" i="8"/>
  <c r="J58" i="8" s="1"/>
  <c r="I58" i="8" s="1"/>
  <c r="AR74" i="8"/>
  <c r="B74" i="8" s="1"/>
  <c r="A74" i="8" s="1"/>
  <c r="AL74" i="8"/>
  <c r="AR29" i="8"/>
  <c r="R29" i="8" s="1"/>
  <c r="Q29" i="8" s="1"/>
  <c r="AL29" i="8"/>
  <c r="AR37" i="8"/>
  <c r="L37" i="8" s="1"/>
  <c r="K37" i="8" s="1"/>
  <c r="AL37" i="8"/>
  <c r="AR45" i="8"/>
  <c r="F45" i="8" s="1"/>
  <c r="E45" i="8" s="1"/>
  <c r="AL45" i="8"/>
  <c r="AR53" i="8"/>
  <c r="R53" i="8" s="1"/>
  <c r="Q53" i="8" s="1"/>
  <c r="AL53" i="8"/>
  <c r="AR61" i="8"/>
  <c r="B61" i="8" s="1"/>
  <c r="A61" i="8" s="1"/>
  <c r="AL61" i="8"/>
  <c r="AR69" i="8"/>
  <c r="R69" i="8" s="1"/>
  <c r="Q69" i="8" s="1"/>
  <c r="AL69" i="8"/>
  <c r="AR77" i="8"/>
  <c r="AL77" i="8"/>
  <c r="AL14" i="8"/>
  <c r="AR14" i="8" s="1"/>
  <c r="AR30" i="8"/>
  <c r="J30" i="8" s="1"/>
  <c r="I30" i="8" s="1"/>
  <c r="AL30" i="8"/>
  <c r="AR46" i="8"/>
  <c r="L46" i="8" s="1"/>
  <c r="K46" i="8" s="1"/>
  <c r="AL46" i="8"/>
  <c r="AR62" i="8"/>
  <c r="B62" i="8" s="1"/>
  <c r="A62" i="8" s="1"/>
  <c r="AL62" i="8"/>
  <c r="AL78" i="8"/>
  <c r="AR78" i="8"/>
  <c r="B78" i="8" s="1"/>
  <c r="A78" i="8" s="1"/>
  <c r="AI8" i="8"/>
  <c r="AI21" i="8"/>
  <c r="AI16" i="8"/>
  <c r="L29" i="8"/>
  <c r="K29" i="8" s="1"/>
  <c r="H29" i="8"/>
  <c r="G29" i="8" s="1"/>
  <c r="B24" i="8"/>
  <c r="A24" i="8" s="1"/>
  <c r="L24" i="8"/>
  <c r="K24" i="8" s="1"/>
  <c r="F24" i="8"/>
  <c r="E24" i="8" s="1"/>
  <c r="X24" i="8"/>
  <c r="W24" i="8" s="1"/>
  <c r="P24" i="8"/>
  <c r="O24" i="8" s="1"/>
  <c r="N24" i="8"/>
  <c r="M24" i="8" s="1"/>
  <c r="D24" i="8"/>
  <c r="C24" i="8" s="1"/>
  <c r="V24" i="8"/>
  <c r="U24" i="8" s="1"/>
  <c r="J24" i="8"/>
  <c r="I24" i="8" s="1"/>
  <c r="R24" i="8"/>
  <c r="Q24" i="8" s="1"/>
  <c r="T24" i="8"/>
  <c r="S24" i="8" s="1"/>
  <c r="H24" i="8"/>
  <c r="G24" i="8" s="1"/>
  <c r="B40" i="8"/>
  <c r="A40" i="8" s="1"/>
  <c r="L40" i="8"/>
  <c r="K40" i="8" s="1"/>
  <c r="F40" i="8"/>
  <c r="E40" i="8" s="1"/>
  <c r="P40" i="8"/>
  <c r="O40" i="8" s="1"/>
  <c r="N40" i="8"/>
  <c r="M40" i="8" s="1"/>
  <c r="D40" i="8"/>
  <c r="C40" i="8" s="1"/>
  <c r="J40" i="8"/>
  <c r="I40" i="8" s="1"/>
  <c r="R40" i="8"/>
  <c r="Q40" i="8" s="1"/>
  <c r="T40" i="8"/>
  <c r="S40" i="8" s="1"/>
  <c r="H40" i="8"/>
  <c r="G40" i="8" s="1"/>
  <c r="X56" i="8"/>
  <c r="W56" i="8" s="1"/>
  <c r="L72" i="8"/>
  <c r="K72" i="8" s="1"/>
  <c r="J72" i="8"/>
  <c r="I72" i="8" s="1"/>
  <c r="V72" i="8"/>
  <c r="U72" i="8" s="1"/>
  <c r="J26" i="8"/>
  <c r="I26" i="8" s="1"/>
  <c r="T58" i="8"/>
  <c r="S58" i="8" s="1"/>
  <c r="N58" i="8"/>
  <c r="M58" i="8" s="1"/>
  <c r="X58" i="8"/>
  <c r="W58" i="8" s="1"/>
  <c r="B47" i="8"/>
  <c r="A47" i="8" s="1"/>
  <c r="X47" i="8"/>
  <c r="W47" i="8" s="1"/>
  <c r="P47" i="8"/>
  <c r="O47" i="8" s="1"/>
  <c r="N47" i="8"/>
  <c r="M47" i="8" s="1"/>
  <c r="V47" i="8"/>
  <c r="U47" i="8" s="1"/>
  <c r="T47" i="8"/>
  <c r="S47" i="8" s="1"/>
  <c r="J47" i="8"/>
  <c r="I47" i="8" s="1"/>
  <c r="H47" i="8"/>
  <c r="G47" i="8" s="1"/>
  <c r="R47" i="8"/>
  <c r="Q47" i="8" s="1"/>
  <c r="L47" i="8"/>
  <c r="K47" i="8" s="1"/>
  <c r="D47" i="8"/>
  <c r="C47" i="8" s="1"/>
  <c r="F47" i="8"/>
  <c r="E47" i="8" s="1"/>
  <c r="P63" i="8"/>
  <c r="O63" i="8" s="1"/>
  <c r="H63" i="8"/>
  <c r="G63" i="8" s="1"/>
  <c r="L63" i="8"/>
  <c r="K63" i="8" s="1"/>
  <c r="B79" i="8"/>
  <c r="A79" i="8" s="1"/>
  <c r="X79" i="8"/>
  <c r="W79" i="8" s="1"/>
  <c r="P79" i="8"/>
  <c r="O79" i="8" s="1"/>
  <c r="N79" i="8"/>
  <c r="M79" i="8" s="1"/>
  <c r="V79" i="8"/>
  <c r="U79" i="8" s="1"/>
  <c r="T79" i="8"/>
  <c r="S79" i="8" s="1"/>
  <c r="J79" i="8"/>
  <c r="I79" i="8" s="1"/>
  <c r="H79" i="8"/>
  <c r="G79" i="8" s="1"/>
  <c r="R79" i="8"/>
  <c r="Q79" i="8" s="1"/>
  <c r="L79" i="8"/>
  <c r="K79" i="8" s="1"/>
  <c r="D79" i="8"/>
  <c r="C79" i="8" s="1"/>
  <c r="F79" i="8"/>
  <c r="E79" i="8" s="1"/>
  <c r="T46" i="8"/>
  <c r="S46" i="8" s="1"/>
  <c r="J46" i="8"/>
  <c r="I46" i="8" s="1"/>
  <c r="R46" i="8"/>
  <c r="Q46" i="8" s="1"/>
  <c r="N46" i="8"/>
  <c r="M46" i="8" s="1"/>
  <c r="F46" i="8"/>
  <c r="E46" i="8" s="1"/>
  <c r="T78" i="8"/>
  <c r="S78" i="8" s="1"/>
  <c r="J78" i="8"/>
  <c r="I78" i="8" s="1"/>
  <c r="N78" i="8"/>
  <c r="M78" i="8" s="1"/>
  <c r="F78" i="8"/>
  <c r="E78" i="8" s="1"/>
  <c r="B35" i="8"/>
  <c r="A35" i="8" s="1"/>
  <c r="B51" i="8"/>
  <c r="A51" i="8" s="1"/>
  <c r="N51" i="8"/>
  <c r="M51" i="8" s="1"/>
  <c r="D51" i="8"/>
  <c r="C51" i="8" s="1"/>
  <c r="L51" i="8"/>
  <c r="K51" i="8" s="1"/>
  <c r="V25" i="8"/>
  <c r="U25" i="8" s="1"/>
  <c r="H25" i="8"/>
  <c r="G25" i="8" s="1"/>
  <c r="V49" i="8"/>
  <c r="U49" i="8" s="1"/>
  <c r="H49" i="8"/>
  <c r="G49" i="8" s="1"/>
  <c r="B65" i="8"/>
  <c r="A65" i="8" s="1"/>
  <c r="T65" i="8"/>
  <c r="S65" i="8" s="1"/>
  <c r="J65" i="8"/>
  <c r="I65" i="8" s="1"/>
  <c r="N65" i="8"/>
  <c r="M65" i="8" s="1"/>
  <c r="V81" i="8"/>
  <c r="U81" i="8" s="1"/>
  <c r="H81" i="8"/>
  <c r="G81" i="8" s="1"/>
  <c r="B45" i="8"/>
  <c r="A45" i="8" s="1"/>
  <c r="L45" i="8"/>
  <c r="K45" i="8" s="1"/>
  <c r="D45" i="8"/>
  <c r="C45" i="8" s="1"/>
  <c r="T45" i="8"/>
  <c r="S45" i="8" s="1"/>
  <c r="X61" i="8"/>
  <c r="W61" i="8" s="1"/>
  <c r="T61" i="8"/>
  <c r="S61" i="8" s="1"/>
  <c r="B77" i="8"/>
  <c r="A77" i="8" s="1"/>
  <c r="R77" i="8"/>
  <c r="Q77" i="8" s="1"/>
  <c r="L77" i="8"/>
  <c r="K77" i="8" s="1"/>
  <c r="F77" i="8"/>
  <c r="E77" i="8" s="1"/>
  <c r="X77" i="8"/>
  <c r="W77" i="8" s="1"/>
  <c r="P77" i="8"/>
  <c r="O77" i="8" s="1"/>
  <c r="N77" i="8"/>
  <c r="M77" i="8" s="1"/>
  <c r="D77" i="8"/>
  <c r="C77" i="8" s="1"/>
  <c r="V77" i="8"/>
  <c r="U77" i="8" s="1"/>
  <c r="T77" i="8"/>
  <c r="S77" i="8" s="1"/>
  <c r="J77" i="8"/>
  <c r="I77" i="8" s="1"/>
  <c r="H77" i="8"/>
  <c r="G77" i="8" s="1"/>
  <c r="F32" i="8"/>
  <c r="E32" i="8" s="1"/>
  <c r="D64" i="8"/>
  <c r="C64" i="8" s="1"/>
  <c r="T64" i="8"/>
  <c r="S64" i="8" s="1"/>
  <c r="T74" i="8"/>
  <c r="S74" i="8" s="1"/>
  <c r="J74" i="8"/>
  <c r="I74" i="8" s="1"/>
  <c r="L74" i="8"/>
  <c r="K74" i="8" s="1"/>
  <c r="F74" i="8"/>
  <c r="E74" i="8" s="1"/>
  <c r="P74" i="8"/>
  <c r="O74" i="8" s="1"/>
  <c r="N74" i="8"/>
  <c r="M74" i="8" s="1"/>
  <c r="N31" i="8"/>
  <c r="M31" i="8" s="1"/>
  <c r="F31" i="8"/>
  <c r="E31" i="8" s="1"/>
  <c r="N12" i="8"/>
  <c r="M12" i="8" s="1"/>
  <c r="B28" i="8"/>
  <c r="A28" i="8" s="1"/>
  <c r="L28" i="8"/>
  <c r="K28" i="8" s="1"/>
  <c r="F28" i="8"/>
  <c r="E28" i="8" s="1"/>
  <c r="X28" i="8"/>
  <c r="W28" i="8" s="1"/>
  <c r="P28" i="8"/>
  <c r="O28" i="8" s="1"/>
  <c r="N28" i="8"/>
  <c r="M28" i="8" s="1"/>
  <c r="D28" i="8"/>
  <c r="C28" i="8" s="1"/>
  <c r="V28" i="8"/>
  <c r="U28" i="8" s="1"/>
  <c r="T28" i="8"/>
  <c r="S28" i="8" s="1"/>
  <c r="J28" i="8"/>
  <c r="I28" i="8" s="1"/>
  <c r="H28" i="8"/>
  <c r="G28" i="8" s="1"/>
  <c r="R28" i="8"/>
  <c r="Q28" i="8" s="1"/>
  <c r="L36" i="8"/>
  <c r="K36" i="8" s="1"/>
  <c r="P44" i="8"/>
  <c r="O44" i="8" s="1"/>
  <c r="D44" i="8"/>
  <c r="C44" i="8" s="1"/>
  <c r="H44" i="8"/>
  <c r="G44" i="8" s="1"/>
  <c r="B60" i="8"/>
  <c r="A60" i="8" s="1"/>
  <c r="L60" i="8"/>
  <c r="K60" i="8" s="1"/>
  <c r="X60" i="8"/>
  <c r="W60" i="8" s="1"/>
  <c r="P60" i="8"/>
  <c r="O60" i="8" s="1"/>
  <c r="N60" i="8"/>
  <c r="M60" i="8" s="1"/>
  <c r="D60" i="8"/>
  <c r="C60" i="8" s="1"/>
  <c r="F60" i="8"/>
  <c r="E60" i="8" s="1"/>
  <c r="V60" i="8"/>
  <c r="U60" i="8" s="1"/>
  <c r="T60" i="8"/>
  <c r="S60" i="8" s="1"/>
  <c r="J60" i="8"/>
  <c r="I60" i="8" s="1"/>
  <c r="H60" i="8"/>
  <c r="G60" i="8" s="1"/>
  <c r="R60" i="8"/>
  <c r="Q60" i="8" s="1"/>
  <c r="J68" i="8"/>
  <c r="I68" i="8" s="1"/>
  <c r="B76" i="8"/>
  <c r="A76" i="8" s="1"/>
  <c r="L76" i="8"/>
  <c r="K76" i="8" s="1"/>
  <c r="X76" i="8"/>
  <c r="W76" i="8" s="1"/>
  <c r="P76" i="8"/>
  <c r="O76" i="8" s="1"/>
  <c r="N76" i="8"/>
  <c r="M76" i="8" s="1"/>
  <c r="D76" i="8"/>
  <c r="C76" i="8" s="1"/>
  <c r="F76" i="8"/>
  <c r="E76" i="8" s="1"/>
  <c r="V76" i="8"/>
  <c r="U76" i="8" s="1"/>
  <c r="T76" i="8"/>
  <c r="S76" i="8" s="1"/>
  <c r="J76" i="8"/>
  <c r="I76" i="8" s="1"/>
  <c r="H76" i="8"/>
  <c r="G76" i="8" s="1"/>
  <c r="R76" i="8"/>
  <c r="Q76" i="8" s="1"/>
  <c r="J34" i="8"/>
  <c r="I34" i="8" s="1"/>
  <c r="F34" i="8"/>
  <c r="E34" i="8" s="1"/>
  <c r="N34" i="8"/>
  <c r="M34" i="8" s="1"/>
  <c r="V50" i="8"/>
  <c r="U50" i="8" s="1"/>
  <c r="R50" i="8"/>
  <c r="Q50" i="8" s="1"/>
  <c r="P50" i="8"/>
  <c r="O50" i="8" s="1"/>
  <c r="B66" i="8"/>
  <c r="A66" i="8" s="1"/>
  <c r="V66" i="8"/>
  <c r="U66" i="8" s="1"/>
  <c r="T66" i="8"/>
  <c r="S66" i="8" s="1"/>
  <c r="J66" i="8"/>
  <c r="I66" i="8" s="1"/>
  <c r="H66" i="8"/>
  <c r="G66" i="8" s="1"/>
  <c r="R66" i="8"/>
  <c r="Q66" i="8" s="1"/>
  <c r="F66" i="8"/>
  <c r="E66" i="8" s="1"/>
  <c r="X66" i="8"/>
  <c r="W66" i="8" s="1"/>
  <c r="P66" i="8"/>
  <c r="O66" i="8" s="1"/>
  <c r="D66" i="8"/>
  <c r="C66" i="8" s="1"/>
  <c r="L66" i="8"/>
  <c r="K66" i="8" s="1"/>
  <c r="N66" i="8"/>
  <c r="M66" i="8" s="1"/>
  <c r="V82" i="8"/>
  <c r="U82" i="8" s="1"/>
  <c r="R82" i="8"/>
  <c r="Q82" i="8" s="1"/>
  <c r="N82" i="8"/>
  <c r="M82" i="8" s="1"/>
  <c r="B39" i="8"/>
  <c r="A39" i="8" s="1"/>
  <c r="X39" i="8"/>
  <c r="W39" i="8" s="1"/>
  <c r="P39" i="8"/>
  <c r="O39" i="8" s="1"/>
  <c r="N39" i="8"/>
  <c r="M39" i="8" s="1"/>
  <c r="V39" i="8"/>
  <c r="U39" i="8" s="1"/>
  <c r="T39" i="8"/>
  <c r="S39" i="8" s="1"/>
  <c r="J39" i="8"/>
  <c r="I39" i="8" s="1"/>
  <c r="H39" i="8"/>
  <c r="G39" i="8" s="1"/>
  <c r="R39" i="8"/>
  <c r="Q39" i="8" s="1"/>
  <c r="L39" i="8"/>
  <c r="K39" i="8" s="1"/>
  <c r="F39" i="8"/>
  <c r="E39" i="8" s="1"/>
  <c r="D39" i="8"/>
  <c r="C39" i="8" s="1"/>
  <c r="B71" i="8"/>
  <c r="A71" i="8" s="1"/>
  <c r="T71" i="8"/>
  <c r="S71" i="8" s="1"/>
  <c r="R71" i="8"/>
  <c r="Q71" i="8" s="1"/>
  <c r="V38" i="8"/>
  <c r="U38" i="8" s="1"/>
  <c r="R38" i="8"/>
  <c r="Q38" i="8" s="1"/>
  <c r="X38" i="8"/>
  <c r="W38" i="8" s="1"/>
  <c r="B54" i="8"/>
  <c r="A54" i="8" s="1"/>
  <c r="V54" i="8"/>
  <c r="U54" i="8" s="1"/>
  <c r="T54" i="8"/>
  <c r="S54" i="8" s="1"/>
  <c r="J54" i="8"/>
  <c r="I54" i="8" s="1"/>
  <c r="H54" i="8"/>
  <c r="G54" i="8" s="1"/>
  <c r="R54" i="8"/>
  <c r="Q54" i="8" s="1"/>
  <c r="L54" i="8"/>
  <c r="K54" i="8" s="1"/>
  <c r="F54" i="8"/>
  <c r="E54" i="8" s="1"/>
  <c r="X54" i="8"/>
  <c r="W54" i="8" s="1"/>
  <c r="P54" i="8"/>
  <c r="O54" i="8" s="1"/>
  <c r="N54" i="8"/>
  <c r="M54" i="8" s="1"/>
  <c r="D54" i="8"/>
  <c r="C54" i="8" s="1"/>
  <c r="V70" i="8"/>
  <c r="U70" i="8" s="1"/>
  <c r="X27" i="8"/>
  <c r="W27" i="8" s="1"/>
  <c r="B59" i="8"/>
  <c r="A59" i="8" s="1"/>
  <c r="X59" i="8"/>
  <c r="W59" i="8" s="1"/>
  <c r="P59" i="8"/>
  <c r="O59" i="8" s="1"/>
  <c r="N59" i="8"/>
  <c r="M59" i="8" s="1"/>
  <c r="V59" i="8"/>
  <c r="U59" i="8" s="1"/>
  <c r="T59" i="8"/>
  <c r="S59" i="8" s="1"/>
  <c r="J59" i="8"/>
  <c r="I59" i="8" s="1"/>
  <c r="H59" i="8"/>
  <c r="G59" i="8" s="1"/>
  <c r="R59" i="8"/>
  <c r="Q59" i="8" s="1"/>
  <c r="D59" i="8"/>
  <c r="C59" i="8" s="1"/>
  <c r="L59" i="8"/>
  <c r="K59" i="8" s="1"/>
  <c r="F59" i="8"/>
  <c r="E59" i="8" s="1"/>
  <c r="B75" i="8"/>
  <c r="A75" i="8" s="1"/>
  <c r="X75" i="8"/>
  <c r="W75" i="8" s="1"/>
  <c r="P75" i="8"/>
  <c r="O75" i="8" s="1"/>
  <c r="N75" i="8"/>
  <c r="M75" i="8" s="1"/>
  <c r="V75" i="8"/>
  <c r="U75" i="8" s="1"/>
  <c r="T75" i="8"/>
  <c r="S75" i="8" s="1"/>
  <c r="J75" i="8"/>
  <c r="I75" i="8" s="1"/>
  <c r="H75" i="8"/>
  <c r="G75" i="8" s="1"/>
  <c r="L75" i="8"/>
  <c r="K75" i="8" s="1"/>
  <c r="F75" i="8"/>
  <c r="E75" i="8" s="1"/>
  <c r="R75" i="8"/>
  <c r="Q75" i="8" s="1"/>
  <c r="D75" i="8"/>
  <c r="C75" i="8" s="1"/>
  <c r="D23" i="8" l="1"/>
  <c r="C23" i="8" s="1"/>
  <c r="L23" i="8"/>
  <c r="K23" i="8" s="1"/>
  <c r="R23" i="8"/>
  <c r="Q23" i="8" s="1"/>
  <c r="D33" i="8"/>
  <c r="C33" i="8" s="1"/>
  <c r="N23" i="8"/>
  <c r="M23" i="8" s="1"/>
  <c r="J33" i="8"/>
  <c r="I33" i="8" s="1"/>
  <c r="X23" i="8"/>
  <c r="W23" i="8" s="1"/>
  <c r="V33" i="8"/>
  <c r="U33" i="8" s="1"/>
  <c r="X26" i="8"/>
  <c r="W26" i="8" s="1"/>
  <c r="B23" i="8"/>
  <c r="A23" i="8" s="1"/>
  <c r="F33" i="8"/>
  <c r="E33" i="8" s="1"/>
  <c r="F23" i="8"/>
  <c r="E23" i="8" s="1"/>
  <c r="P23" i="8"/>
  <c r="O23" i="8" s="1"/>
  <c r="N44" i="8"/>
  <c r="M44" i="8" s="1"/>
  <c r="V64" i="8"/>
  <c r="U64" i="8" s="1"/>
  <c r="V45" i="8"/>
  <c r="U45" i="8" s="1"/>
  <c r="R45" i="8"/>
  <c r="Q45" i="8" s="1"/>
  <c r="H65" i="8"/>
  <c r="G65" i="8" s="1"/>
  <c r="T33" i="8"/>
  <c r="S33" i="8" s="1"/>
  <c r="H46" i="8"/>
  <c r="G46" i="8" s="1"/>
  <c r="J44" i="8"/>
  <c r="I44" i="8" s="1"/>
  <c r="X44" i="8"/>
  <c r="W44" i="8" s="1"/>
  <c r="H23" i="8"/>
  <c r="G23" i="8" s="1"/>
  <c r="T44" i="8"/>
  <c r="S44" i="8" s="1"/>
  <c r="L44" i="8"/>
  <c r="K44" i="8" s="1"/>
  <c r="F64" i="8"/>
  <c r="E64" i="8" s="1"/>
  <c r="P64" i="8"/>
  <c r="O64" i="8" s="1"/>
  <c r="N45" i="8"/>
  <c r="M45" i="8" s="1"/>
  <c r="V65" i="8"/>
  <c r="U65" i="8" s="1"/>
  <c r="X33" i="8"/>
  <c r="W33" i="8" s="1"/>
  <c r="L33" i="8"/>
  <c r="K33" i="8" s="1"/>
  <c r="P46" i="8"/>
  <c r="O46" i="8" s="1"/>
  <c r="V46" i="8"/>
  <c r="U46" i="8" s="1"/>
  <c r="J23" i="8"/>
  <c r="I23" i="8" s="1"/>
  <c r="V44" i="8"/>
  <c r="U44" i="8" s="1"/>
  <c r="B44" i="8"/>
  <c r="A44" i="8" s="1"/>
  <c r="H64" i="8"/>
  <c r="G64" i="8" s="1"/>
  <c r="X64" i="8"/>
  <c r="W64" i="8" s="1"/>
  <c r="P45" i="8"/>
  <c r="O45" i="8" s="1"/>
  <c r="D65" i="8"/>
  <c r="C65" i="8" s="1"/>
  <c r="F65" i="8"/>
  <c r="E65" i="8" s="1"/>
  <c r="N33" i="8"/>
  <c r="M33" i="8" s="1"/>
  <c r="R33" i="8"/>
  <c r="Q33" i="8" s="1"/>
  <c r="X46" i="8"/>
  <c r="W46" i="8" s="1"/>
  <c r="B46" i="8"/>
  <c r="A46" i="8" s="1"/>
  <c r="P26" i="8"/>
  <c r="O26" i="8" s="1"/>
  <c r="R27" i="8"/>
  <c r="Q27" i="8" s="1"/>
  <c r="T23" i="8"/>
  <c r="S23" i="8" s="1"/>
  <c r="R44" i="8"/>
  <c r="Q44" i="8" s="1"/>
  <c r="J64" i="8"/>
  <c r="I64" i="8" s="1"/>
  <c r="L64" i="8"/>
  <c r="K64" i="8" s="1"/>
  <c r="X45" i="8"/>
  <c r="W45" i="8" s="1"/>
  <c r="P65" i="8"/>
  <c r="O65" i="8" s="1"/>
  <c r="L65" i="8"/>
  <c r="K65" i="8" s="1"/>
  <c r="P33" i="8"/>
  <c r="O33" i="8" s="1"/>
  <c r="B33" i="8"/>
  <c r="A33" i="8" s="1"/>
  <c r="D46" i="8"/>
  <c r="C46" i="8" s="1"/>
  <c r="N64" i="8"/>
  <c r="M64" i="8" s="1"/>
  <c r="J45" i="8"/>
  <c r="I45" i="8" s="1"/>
  <c r="V27" i="8"/>
  <c r="U27" i="8" s="1"/>
  <c r="R64" i="8"/>
  <c r="Q64" i="8" s="1"/>
  <c r="H45" i="8"/>
  <c r="G45" i="8" s="1"/>
  <c r="X65" i="8"/>
  <c r="W65" i="8" s="1"/>
  <c r="T12" i="8"/>
  <c r="S12" i="8" s="1"/>
  <c r="T4" i="2"/>
  <c r="F27" i="8"/>
  <c r="E27" i="8" s="1"/>
  <c r="N27" i="8"/>
  <c r="M27" i="8" s="1"/>
  <c r="H71" i="8"/>
  <c r="G71" i="8" s="1"/>
  <c r="R34" i="8"/>
  <c r="Q34" i="8" s="1"/>
  <c r="H31" i="8"/>
  <c r="G31" i="8" s="1"/>
  <c r="N61" i="8"/>
  <c r="M61" i="8" s="1"/>
  <c r="J81" i="8"/>
  <c r="I81" i="8" s="1"/>
  <c r="J49" i="8"/>
  <c r="I49" i="8" s="1"/>
  <c r="J25" i="8"/>
  <c r="I25" i="8" s="1"/>
  <c r="R51" i="8"/>
  <c r="Q51" i="8" s="1"/>
  <c r="P51" i="8"/>
  <c r="O51" i="8" s="1"/>
  <c r="R26" i="8"/>
  <c r="Q26" i="8" s="1"/>
  <c r="F72" i="8"/>
  <c r="E72" i="8" s="1"/>
  <c r="B72" i="8"/>
  <c r="A72" i="8" s="1"/>
  <c r="D29" i="8"/>
  <c r="C29" i="8" s="1"/>
  <c r="B29" i="8"/>
  <c r="A29" i="8" s="1"/>
  <c r="L27" i="8"/>
  <c r="K27" i="8" s="1"/>
  <c r="P27" i="8"/>
  <c r="O27" i="8" s="1"/>
  <c r="J71" i="8"/>
  <c r="I71" i="8" s="1"/>
  <c r="H34" i="8"/>
  <c r="G34" i="8" s="1"/>
  <c r="J31" i="8"/>
  <c r="I31" i="8" s="1"/>
  <c r="P61" i="8"/>
  <c r="O61" i="8" s="1"/>
  <c r="T81" i="8"/>
  <c r="S81" i="8" s="1"/>
  <c r="T49" i="8"/>
  <c r="S49" i="8" s="1"/>
  <c r="T25" i="8"/>
  <c r="S25" i="8" s="1"/>
  <c r="F51" i="8"/>
  <c r="E51" i="8" s="1"/>
  <c r="X51" i="8"/>
  <c r="W51" i="8" s="1"/>
  <c r="H26" i="8"/>
  <c r="G26" i="8" s="1"/>
  <c r="R72" i="8"/>
  <c r="Q72" i="8" s="1"/>
  <c r="T29" i="8"/>
  <c r="S29" i="8" s="1"/>
  <c r="D27" i="8"/>
  <c r="C27" i="8" s="1"/>
  <c r="B27" i="8"/>
  <c r="A27" i="8" s="1"/>
  <c r="V71" i="8"/>
  <c r="U71" i="8" s="1"/>
  <c r="P34" i="8"/>
  <c r="O34" i="8" s="1"/>
  <c r="T34" i="8"/>
  <c r="S34" i="8" s="1"/>
  <c r="D68" i="8"/>
  <c r="C68" i="8" s="1"/>
  <c r="P31" i="8"/>
  <c r="O31" i="8" s="1"/>
  <c r="D61" i="8"/>
  <c r="C61" i="8" s="1"/>
  <c r="F61" i="8"/>
  <c r="E61" i="8" s="1"/>
  <c r="N81" i="8"/>
  <c r="M81" i="8" s="1"/>
  <c r="F81" i="8"/>
  <c r="E81" i="8" s="1"/>
  <c r="X49" i="8"/>
  <c r="W49" i="8" s="1"/>
  <c r="F49" i="8"/>
  <c r="E49" i="8" s="1"/>
  <c r="N25" i="8"/>
  <c r="M25" i="8" s="1"/>
  <c r="F25" i="8"/>
  <c r="E25" i="8" s="1"/>
  <c r="H51" i="8"/>
  <c r="G51" i="8" s="1"/>
  <c r="F26" i="8"/>
  <c r="E26" i="8" s="1"/>
  <c r="T26" i="8"/>
  <c r="S26" i="8" s="1"/>
  <c r="D72" i="8"/>
  <c r="C72" i="8" s="1"/>
  <c r="J29" i="8"/>
  <c r="I29" i="8" s="1"/>
  <c r="H27" i="8"/>
  <c r="G27" i="8" s="1"/>
  <c r="D71" i="8"/>
  <c r="C71" i="8" s="1"/>
  <c r="N71" i="8"/>
  <c r="M71" i="8" s="1"/>
  <c r="L34" i="8"/>
  <c r="K34" i="8" s="1"/>
  <c r="V34" i="8"/>
  <c r="U34" i="8" s="1"/>
  <c r="L68" i="8"/>
  <c r="K68" i="8" s="1"/>
  <c r="H61" i="8"/>
  <c r="G61" i="8" s="1"/>
  <c r="L61" i="8"/>
  <c r="K61" i="8" s="1"/>
  <c r="P81" i="8"/>
  <c r="O81" i="8" s="1"/>
  <c r="L81" i="8"/>
  <c r="K81" i="8" s="1"/>
  <c r="D49" i="8"/>
  <c r="C49" i="8" s="1"/>
  <c r="L49" i="8"/>
  <c r="K49" i="8" s="1"/>
  <c r="P25" i="8"/>
  <c r="O25" i="8" s="1"/>
  <c r="L25" i="8"/>
  <c r="K25" i="8" s="1"/>
  <c r="J51" i="8"/>
  <c r="I51" i="8" s="1"/>
  <c r="L26" i="8"/>
  <c r="K26" i="8" s="1"/>
  <c r="B26" i="8"/>
  <c r="A26" i="8" s="1"/>
  <c r="N72" i="8"/>
  <c r="M72" i="8" s="1"/>
  <c r="N29" i="8"/>
  <c r="M29" i="8" s="1"/>
  <c r="J27" i="8"/>
  <c r="I27" i="8" s="1"/>
  <c r="L71" i="8"/>
  <c r="K71" i="8" s="1"/>
  <c r="P71" i="8"/>
  <c r="O71" i="8" s="1"/>
  <c r="D34" i="8"/>
  <c r="C34" i="8" s="1"/>
  <c r="B34" i="8"/>
  <c r="A34" i="8" s="1"/>
  <c r="T36" i="8"/>
  <c r="S36" i="8" s="1"/>
  <c r="V61" i="8"/>
  <c r="U61" i="8" s="1"/>
  <c r="R61" i="8"/>
  <c r="Q61" i="8" s="1"/>
  <c r="X81" i="8"/>
  <c r="W81" i="8" s="1"/>
  <c r="R81" i="8"/>
  <c r="Q81" i="8" s="1"/>
  <c r="N49" i="8"/>
  <c r="M49" i="8" s="1"/>
  <c r="R49" i="8"/>
  <c r="Q49" i="8" s="1"/>
  <c r="X25" i="8"/>
  <c r="W25" i="8" s="1"/>
  <c r="R25" i="8"/>
  <c r="Q25" i="8" s="1"/>
  <c r="T51" i="8"/>
  <c r="S51" i="8" s="1"/>
  <c r="D26" i="8"/>
  <c r="C26" i="8" s="1"/>
  <c r="H72" i="8"/>
  <c r="G72" i="8" s="1"/>
  <c r="P72" i="8"/>
  <c r="O72" i="8" s="1"/>
  <c r="X29" i="8"/>
  <c r="W29" i="8" s="1"/>
  <c r="F71" i="8"/>
  <c r="E71" i="8" s="1"/>
  <c r="N36" i="8"/>
  <c r="M36" i="8" s="1"/>
  <c r="D31" i="8"/>
  <c r="C31" i="8" s="1"/>
  <c r="J61" i="8"/>
  <c r="I61" i="8" s="1"/>
  <c r="D81" i="8"/>
  <c r="C81" i="8" s="1"/>
  <c r="P49" i="8"/>
  <c r="O49" i="8" s="1"/>
  <c r="D25" i="8"/>
  <c r="C25" i="8" s="1"/>
  <c r="N26" i="8"/>
  <c r="M26" i="8" s="1"/>
  <c r="T72" i="8"/>
  <c r="S72" i="8" s="1"/>
  <c r="F29" i="8"/>
  <c r="E29" i="8" s="1"/>
  <c r="N19" i="8"/>
  <c r="M19" i="8" s="1"/>
  <c r="R19" i="8"/>
  <c r="Q19" i="8" s="1"/>
  <c r="J19" i="8"/>
  <c r="P19" i="8"/>
  <c r="O19" i="8" s="1"/>
  <c r="D43" i="8"/>
  <c r="C43" i="8" s="1"/>
  <c r="T11" i="8"/>
  <c r="S11" i="8" s="1"/>
  <c r="T43" i="8"/>
  <c r="S43" i="8" s="1"/>
  <c r="X42" i="8"/>
  <c r="W42" i="8" s="1"/>
  <c r="J73" i="8"/>
  <c r="I73" i="8" s="1"/>
  <c r="X11" i="8"/>
  <c r="W11" i="8" s="1"/>
  <c r="X43" i="8"/>
  <c r="W43" i="8" s="1"/>
  <c r="J55" i="8"/>
  <c r="I55" i="8" s="1"/>
  <c r="V42" i="8"/>
  <c r="U42" i="8" s="1"/>
  <c r="X41" i="8"/>
  <c r="W41" i="8" s="1"/>
  <c r="D78" i="8"/>
  <c r="C78" i="8" s="1"/>
  <c r="L62" i="8"/>
  <c r="K62" i="8" s="1"/>
  <c r="J63" i="8"/>
  <c r="I63" i="8" s="1"/>
  <c r="D11" i="8"/>
  <c r="C11" i="8" s="1"/>
  <c r="X48" i="8"/>
  <c r="W48" i="8" s="1"/>
  <c r="L41" i="8"/>
  <c r="K41" i="8" s="1"/>
  <c r="L78" i="8"/>
  <c r="K78" i="8" s="1"/>
  <c r="D63" i="8"/>
  <c r="C63" i="8" s="1"/>
  <c r="N63" i="8"/>
  <c r="M63" i="8" s="1"/>
  <c r="J56" i="8"/>
  <c r="I56" i="8" s="1"/>
  <c r="T53" i="8"/>
  <c r="S53" i="8" s="1"/>
  <c r="V40" i="8"/>
  <c r="U40" i="8" s="1"/>
  <c r="F69" i="8"/>
  <c r="E69" i="8" s="1"/>
  <c r="V29" i="8"/>
  <c r="U29" i="8" s="1"/>
  <c r="P29" i="8"/>
  <c r="O29" i="8" s="1"/>
  <c r="P42" i="8"/>
  <c r="O42" i="8" s="1"/>
  <c r="T73" i="8"/>
  <c r="S73" i="8" s="1"/>
  <c r="N41" i="8"/>
  <c r="M41" i="8" s="1"/>
  <c r="R41" i="8"/>
  <c r="Q41" i="8" s="1"/>
  <c r="P30" i="8"/>
  <c r="O30" i="8" s="1"/>
  <c r="V43" i="8"/>
  <c r="U43" i="8" s="1"/>
  <c r="B43" i="8"/>
  <c r="A43" i="8" s="1"/>
  <c r="R11" i="8"/>
  <c r="Q11" i="8" s="1"/>
  <c r="V11" i="8"/>
  <c r="U11" i="8" s="1"/>
  <c r="B11" i="8"/>
  <c r="A11" i="8" s="1"/>
  <c r="F43" i="8"/>
  <c r="E43" i="8" s="1"/>
  <c r="H43" i="8"/>
  <c r="G43" i="8" s="1"/>
  <c r="N43" i="8"/>
  <c r="M43" i="8" s="1"/>
  <c r="F11" i="8"/>
  <c r="E11" i="8" s="1"/>
  <c r="H11" i="8"/>
  <c r="G11" i="8" s="1"/>
  <c r="N11" i="8"/>
  <c r="M11" i="8" s="1"/>
  <c r="X22" i="8"/>
  <c r="W22" i="8" s="1"/>
  <c r="L31" i="8"/>
  <c r="K31" i="8" s="1"/>
  <c r="T31" i="8"/>
  <c r="S31" i="8" s="1"/>
  <c r="X31" i="8"/>
  <c r="W31" i="8" s="1"/>
  <c r="X74" i="8"/>
  <c r="W74" i="8" s="1"/>
  <c r="R74" i="8"/>
  <c r="Q74" i="8" s="1"/>
  <c r="V74" i="8"/>
  <c r="U74" i="8" s="1"/>
  <c r="L42" i="8"/>
  <c r="K42" i="8" s="1"/>
  <c r="H48" i="8"/>
  <c r="G48" i="8" s="1"/>
  <c r="N73" i="8"/>
  <c r="M73" i="8" s="1"/>
  <c r="L73" i="8"/>
  <c r="K73" i="8" s="1"/>
  <c r="J41" i="8"/>
  <c r="I41" i="8" s="1"/>
  <c r="D35" i="8"/>
  <c r="C35" i="8" s="1"/>
  <c r="P78" i="8"/>
  <c r="O78" i="8" s="1"/>
  <c r="R78" i="8"/>
  <c r="Q78" i="8" s="1"/>
  <c r="V78" i="8"/>
  <c r="U78" i="8" s="1"/>
  <c r="L30" i="8"/>
  <c r="K30" i="8" s="1"/>
  <c r="F63" i="8"/>
  <c r="E63" i="8" s="1"/>
  <c r="T63" i="8"/>
  <c r="S63" i="8" s="1"/>
  <c r="X63" i="8"/>
  <c r="W63" i="8" s="1"/>
  <c r="J69" i="8"/>
  <c r="I69" i="8" s="1"/>
  <c r="H53" i="8"/>
  <c r="G53" i="8" s="1"/>
  <c r="R43" i="8"/>
  <c r="Q43" i="8" s="1"/>
  <c r="P55" i="8"/>
  <c r="O55" i="8" s="1"/>
  <c r="X80" i="8"/>
  <c r="W80" i="8" s="1"/>
  <c r="L43" i="8"/>
  <c r="K43" i="8" s="1"/>
  <c r="J43" i="8"/>
  <c r="I43" i="8" s="1"/>
  <c r="L11" i="8"/>
  <c r="K11" i="8" s="1"/>
  <c r="J11" i="8"/>
  <c r="I11" i="8" s="1"/>
  <c r="D55" i="8"/>
  <c r="C55" i="8" s="1"/>
  <c r="R31" i="8"/>
  <c r="Q31" i="8" s="1"/>
  <c r="V31" i="8"/>
  <c r="U31" i="8" s="1"/>
  <c r="D74" i="8"/>
  <c r="C74" i="8" s="1"/>
  <c r="H74" i="8"/>
  <c r="G74" i="8" s="1"/>
  <c r="T42" i="8"/>
  <c r="S42" i="8" s="1"/>
  <c r="V48" i="8"/>
  <c r="U48" i="8" s="1"/>
  <c r="P73" i="8"/>
  <c r="O73" i="8" s="1"/>
  <c r="R73" i="8"/>
  <c r="Q73" i="8" s="1"/>
  <c r="T41" i="8"/>
  <c r="S41" i="8" s="1"/>
  <c r="V35" i="8"/>
  <c r="U35" i="8" s="1"/>
  <c r="X78" i="8"/>
  <c r="W78" i="8" s="1"/>
  <c r="H78" i="8"/>
  <c r="G78" i="8" s="1"/>
  <c r="T30" i="8"/>
  <c r="S30" i="8" s="1"/>
  <c r="R63" i="8"/>
  <c r="Q63" i="8" s="1"/>
  <c r="V63" i="8"/>
  <c r="U63" i="8" s="1"/>
  <c r="V56" i="8"/>
  <c r="U56" i="8" s="1"/>
  <c r="N69" i="8"/>
  <c r="M69" i="8" s="1"/>
  <c r="L53" i="8"/>
  <c r="K53" i="8" s="1"/>
  <c r="F62" i="8"/>
  <c r="E62" i="8" s="1"/>
  <c r="J62" i="8"/>
  <c r="I62" i="8" s="1"/>
  <c r="X30" i="8"/>
  <c r="W30" i="8" s="1"/>
  <c r="R30" i="8"/>
  <c r="Q30" i="8" s="1"/>
  <c r="V30" i="8"/>
  <c r="U30" i="8" s="1"/>
  <c r="J13" i="8"/>
  <c r="I13" i="8" s="1"/>
  <c r="F42" i="8"/>
  <c r="E42" i="8" s="1"/>
  <c r="R42" i="8"/>
  <c r="Q42" i="8" s="1"/>
  <c r="D73" i="8"/>
  <c r="C73" i="8" s="1"/>
  <c r="V73" i="8"/>
  <c r="U73" i="8" s="1"/>
  <c r="B73" i="8"/>
  <c r="A73" i="8" s="1"/>
  <c r="D41" i="8"/>
  <c r="C41" i="8" s="1"/>
  <c r="V41" i="8"/>
  <c r="U41" i="8" s="1"/>
  <c r="B41" i="8"/>
  <c r="A41" i="8" s="1"/>
  <c r="N62" i="8"/>
  <c r="M62" i="8" s="1"/>
  <c r="T62" i="8"/>
  <c r="S62" i="8" s="1"/>
  <c r="D30" i="8"/>
  <c r="C30" i="8" s="1"/>
  <c r="H30" i="8"/>
  <c r="G30" i="8" s="1"/>
  <c r="B30" i="8"/>
  <c r="A30" i="8" s="1"/>
  <c r="T69" i="8"/>
  <c r="S69" i="8" s="1"/>
  <c r="L69" i="8"/>
  <c r="K69" i="8" s="1"/>
  <c r="N53" i="8"/>
  <c r="M53" i="8" s="1"/>
  <c r="N13" i="8"/>
  <c r="M13" i="8" s="1"/>
  <c r="D42" i="8"/>
  <c r="C42" i="8" s="1"/>
  <c r="J42" i="8"/>
  <c r="I42" i="8" s="1"/>
  <c r="X73" i="8"/>
  <c r="W73" i="8" s="1"/>
  <c r="H73" i="8"/>
  <c r="G73" i="8" s="1"/>
  <c r="P41" i="8"/>
  <c r="O41" i="8" s="1"/>
  <c r="H41" i="8"/>
  <c r="G41" i="8" s="1"/>
  <c r="D62" i="8"/>
  <c r="C62" i="8" s="1"/>
  <c r="N30" i="8"/>
  <c r="M30" i="8" s="1"/>
  <c r="F30" i="8"/>
  <c r="E30" i="8" s="1"/>
  <c r="H69" i="8"/>
  <c r="G69" i="8" s="1"/>
  <c r="J53" i="8"/>
  <c r="I53" i="8" s="1"/>
  <c r="F53" i="8"/>
  <c r="E53" i="8" s="1"/>
  <c r="L13" i="8"/>
  <c r="K13" i="8" s="1"/>
  <c r="D69" i="8"/>
  <c r="C69" i="8" s="1"/>
  <c r="X69" i="8"/>
  <c r="W69" i="8" s="1"/>
  <c r="B69" i="8"/>
  <c r="A69" i="8" s="1"/>
  <c r="D53" i="8"/>
  <c r="C53" i="8" s="1"/>
  <c r="X53" i="8"/>
  <c r="W53" i="8" s="1"/>
  <c r="B53" i="8"/>
  <c r="A53" i="8" s="1"/>
  <c r="V69" i="8"/>
  <c r="U69" i="8" s="1"/>
  <c r="P69" i="8"/>
  <c r="O69" i="8" s="1"/>
  <c r="V53" i="8"/>
  <c r="U53" i="8" s="1"/>
  <c r="P53" i="8"/>
  <c r="O53" i="8" s="1"/>
  <c r="J67" i="8"/>
  <c r="I67" i="8" s="1"/>
  <c r="R67" i="8"/>
  <c r="Q67" i="8" s="1"/>
  <c r="P67" i="8"/>
  <c r="O67" i="8" s="1"/>
  <c r="N57" i="8"/>
  <c r="M57" i="8" s="1"/>
  <c r="L52" i="8"/>
  <c r="K52" i="8" s="1"/>
  <c r="P37" i="8"/>
  <c r="O37" i="8" s="1"/>
  <c r="B22" i="8"/>
  <c r="A22" i="8" s="1"/>
  <c r="X17" i="8"/>
  <c r="W17" i="8" s="1"/>
  <c r="L17" i="8"/>
  <c r="K17" i="8" s="1"/>
  <c r="J17" i="8"/>
  <c r="I17" i="8" s="1"/>
  <c r="V17" i="8"/>
  <c r="U17" i="8" s="1"/>
  <c r="N17" i="8"/>
  <c r="M17" i="8" s="1"/>
  <c r="B17" i="8"/>
  <c r="A17" i="8" s="1"/>
  <c r="P62" i="8"/>
  <c r="O62" i="8" s="1"/>
  <c r="R62" i="8"/>
  <c r="Q62" i="8" s="1"/>
  <c r="V62" i="8"/>
  <c r="U62" i="8" s="1"/>
  <c r="X62" i="8"/>
  <c r="W62" i="8" s="1"/>
  <c r="H62" i="8"/>
  <c r="G62" i="8" s="1"/>
  <c r="H57" i="8"/>
  <c r="G57" i="8" s="1"/>
  <c r="F57" i="8"/>
  <c r="E57" i="8" s="1"/>
  <c r="N42" i="8"/>
  <c r="M42" i="8" s="1"/>
  <c r="H42" i="8"/>
  <c r="G42" i="8" s="1"/>
  <c r="R37" i="8"/>
  <c r="Q37" i="8" s="1"/>
  <c r="V37" i="8"/>
  <c r="U37" i="8" s="1"/>
  <c r="R22" i="8"/>
  <c r="Q22" i="8" s="1"/>
  <c r="H22" i="8"/>
  <c r="G22" i="8" s="1"/>
  <c r="P22" i="8"/>
  <c r="O22" i="8" s="1"/>
  <c r="V22" i="8"/>
  <c r="U22" i="8" s="1"/>
  <c r="L12" i="8"/>
  <c r="K12" i="8" s="1"/>
  <c r="J80" i="8"/>
  <c r="I80" i="8" s="1"/>
  <c r="T80" i="8"/>
  <c r="S80" i="8" s="1"/>
  <c r="P70" i="8"/>
  <c r="O70" i="8" s="1"/>
  <c r="R70" i="8"/>
  <c r="Q70" i="8" s="1"/>
  <c r="F67" i="8"/>
  <c r="E67" i="8" s="1"/>
  <c r="T67" i="8"/>
  <c r="S67" i="8" s="1"/>
  <c r="X67" i="8"/>
  <c r="W67" i="8" s="1"/>
  <c r="D67" i="8"/>
  <c r="C67" i="8" s="1"/>
  <c r="V67" i="8"/>
  <c r="U67" i="8" s="1"/>
  <c r="B67" i="8"/>
  <c r="A67" i="8" s="1"/>
  <c r="L67" i="8"/>
  <c r="K67" i="8" s="1"/>
  <c r="H67" i="8"/>
  <c r="G67" i="8" s="1"/>
  <c r="F55" i="8"/>
  <c r="E55" i="8" s="1"/>
  <c r="T55" i="8"/>
  <c r="S55" i="8" s="1"/>
  <c r="X55" i="8"/>
  <c r="W55" i="8" s="1"/>
  <c r="P57" i="8"/>
  <c r="O57" i="8" s="1"/>
  <c r="J57" i="8"/>
  <c r="I57" i="8" s="1"/>
  <c r="L57" i="8"/>
  <c r="K57" i="8" s="1"/>
  <c r="R55" i="8"/>
  <c r="Q55" i="8" s="1"/>
  <c r="V55" i="8"/>
  <c r="U55" i="8" s="1"/>
  <c r="B55" i="8"/>
  <c r="A55" i="8" s="1"/>
  <c r="X57" i="8"/>
  <c r="W57" i="8" s="1"/>
  <c r="T57" i="8"/>
  <c r="S57" i="8" s="1"/>
  <c r="R57" i="8"/>
  <c r="Q57" i="8" s="1"/>
  <c r="L55" i="8"/>
  <c r="K55" i="8" s="1"/>
  <c r="H55" i="8"/>
  <c r="G55" i="8" s="1"/>
  <c r="D57" i="8"/>
  <c r="C57" i="8" s="1"/>
  <c r="V57" i="8"/>
  <c r="U57" i="8" s="1"/>
  <c r="T52" i="8"/>
  <c r="S52" i="8" s="1"/>
  <c r="D52" i="8"/>
  <c r="C52" i="8" s="1"/>
  <c r="F35" i="8"/>
  <c r="E35" i="8" s="1"/>
  <c r="H35" i="8"/>
  <c r="G35" i="8" s="1"/>
  <c r="N35" i="8"/>
  <c r="M35" i="8" s="1"/>
  <c r="D37" i="8"/>
  <c r="C37" i="8" s="1"/>
  <c r="X37" i="8"/>
  <c r="W37" i="8" s="1"/>
  <c r="B37" i="8"/>
  <c r="A37" i="8" s="1"/>
  <c r="R35" i="8"/>
  <c r="Q35" i="8" s="1"/>
  <c r="J35" i="8"/>
  <c r="I35" i="8" s="1"/>
  <c r="P35" i="8"/>
  <c r="O35" i="8" s="1"/>
  <c r="J37" i="8"/>
  <c r="I37" i="8" s="1"/>
  <c r="H37" i="8"/>
  <c r="G37" i="8" s="1"/>
  <c r="F37" i="8"/>
  <c r="E37" i="8" s="1"/>
  <c r="L35" i="8"/>
  <c r="K35" i="8" s="1"/>
  <c r="T35" i="8"/>
  <c r="S35" i="8" s="1"/>
  <c r="T37" i="8"/>
  <c r="S37" i="8" s="1"/>
  <c r="N37" i="8"/>
  <c r="M37" i="8" s="1"/>
  <c r="V32" i="8"/>
  <c r="U32" i="8" s="1"/>
  <c r="D32" i="8"/>
  <c r="C32" i="8" s="1"/>
  <c r="F20" i="8"/>
  <c r="E20" i="8" s="1"/>
  <c r="L20" i="8"/>
  <c r="K20" i="8" s="1"/>
  <c r="T20" i="8"/>
  <c r="S20" i="8" s="1"/>
  <c r="N20" i="8"/>
  <c r="D22" i="8"/>
  <c r="C22" i="8" s="1"/>
  <c r="F22" i="8"/>
  <c r="E22" i="8" s="1"/>
  <c r="J22" i="8"/>
  <c r="I22" i="8" s="1"/>
  <c r="N22" i="8"/>
  <c r="M22" i="8" s="1"/>
  <c r="L22" i="8"/>
  <c r="K22" i="8" s="1"/>
  <c r="P17" i="8"/>
  <c r="O17" i="8" s="1"/>
  <c r="H17" i="8"/>
  <c r="G17" i="8" s="1"/>
  <c r="F17" i="8"/>
  <c r="E17" i="8" s="1"/>
  <c r="D17" i="8"/>
  <c r="C17" i="8" s="1"/>
  <c r="T17" i="8"/>
  <c r="S17" i="8" s="1"/>
  <c r="T18" i="8"/>
  <c r="S18" i="8" s="1"/>
  <c r="X18" i="8"/>
  <c r="W18" i="8" s="1"/>
  <c r="P18" i="8"/>
  <c r="O18" i="8" s="1"/>
  <c r="V18" i="8"/>
  <c r="U18" i="8" s="1"/>
  <c r="F18" i="8"/>
  <c r="E18" i="8" s="1"/>
  <c r="J18" i="8"/>
  <c r="I18" i="8" s="1"/>
  <c r="D18" i="8"/>
  <c r="C18" i="8" s="1"/>
  <c r="N18" i="8"/>
  <c r="M18" i="8" s="1"/>
  <c r="R18" i="8"/>
  <c r="Q18" i="8" s="1"/>
  <c r="B18" i="8"/>
  <c r="A18" i="8" s="1"/>
  <c r="H18" i="8"/>
  <c r="L18" i="8"/>
  <c r="K18" i="8" s="1"/>
  <c r="J14" i="8"/>
  <c r="F14" i="8"/>
  <c r="E14" i="8" s="1"/>
  <c r="N14" i="8"/>
  <c r="M14" i="8" s="1"/>
  <c r="T14" i="8"/>
  <c r="S14" i="8" s="1"/>
  <c r="B14" i="8"/>
  <c r="A14" i="8" s="1"/>
  <c r="H14" i="8"/>
  <c r="G14" i="8" s="1"/>
  <c r="D14" i="8"/>
  <c r="C14" i="8" s="1"/>
  <c r="P14" i="8"/>
  <c r="O14" i="8" s="1"/>
  <c r="V14" i="8"/>
  <c r="U14" i="8" s="1"/>
  <c r="R14" i="8"/>
  <c r="Q14" i="8" s="1"/>
  <c r="X14" i="8"/>
  <c r="W14" i="8" s="1"/>
  <c r="L14" i="8"/>
  <c r="K14" i="8" s="1"/>
  <c r="N15" i="8"/>
  <c r="H15" i="8"/>
  <c r="G15" i="8" s="1"/>
  <c r="D15" i="8"/>
  <c r="C15" i="8" s="1"/>
  <c r="B15" i="8"/>
  <c r="A15" i="8" s="1"/>
  <c r="V15" i="8"/>
  <c r="U15" i="8" s="1"/>
  <c r="R15" i="8"/>
  <c r="Q15" i="8" s="1"/>
  <c r="P15" i="8"/>
  <c r="O15" i="8" s="1"/>
  <c r="J15" i="8"/>
  <c r="I15" i="8" s="1"/>
  <c r="X15" i="8"/>
  <c r="W15" i="8" s="1"/>
  <c r="T15" i="8"/>
  <c r="S15" i="8" s="1"/>
  <c r="L15" i="8"/>
  <c r="K15" i="8" s="1"/>
  <c r="F15" i="8"/>
  <c r="E15" i="8" s="1"/>
  <c r="AL8" i="8"/>
  <c r="AR8" i="8" s="1"/>
  <c r="AL5" i="8"/>
  <c r="AR5" i="8" s="1"/>
  <c r="R5" i="8" s="1"/>
  <c r="Q5" i="8" s="1"/>
  <c r="X70" i="8"/>
  <c r="W70" i="8" s="1"/>
  <c r="H70" i="8"/>
  <c r="G70" i="8" s="1"/>
  <c r="B70" i="8"/>
  <c r="A70" i="8" s="1"/>
  <c r="D38" i="8"/>
  <c r="C38" i="8" s="1"/>
  <c r="H38" i="8"/>
  <c r="G38" i="8" s="1"/>
  <c r="B38" i="8"/>
  <c r="A38" i="8" s="1"/>
  <c r="P82" i="8"/>
  <c r="O82" i="8" s="1"/>
  <c r="H82" i="8"/>
  <c r="G82" i="8" s="1"/>
  <c r="B82" i="8"/>
  <c r="A82" i="8" s="1"/>
  <c r="L50" i="8"/>
  <c r="K50" i="8" s="1"/>
  <c r="H50" i="8"/>
  <c r="G50" i="8" s="1"/>
  <c r="B50" i="8"/>
  <c r="A50" i="8" s="1"/>
  <c r="T68" i="8"/>
  <c r="S68" i="8" s="1"/>
  <c r="N68" i="8"/>
  <c r="M68" i="8" s="1"/>
  <c r="B68" i="8"/>
  <c r="A68" i="8" s="1"/>
  <c r="V52" i="8"/>
  <c r="U52" i="8" s="1"/>
  <c r="N52" i="8"/>
  <c r="M52" i="8" s="1"/>
  <c r="B52" i="8"/>
  <c r="A52" i="8" s="1"/>
  <c r="V36" i="8"/>
  <c r="U36" i="8" s="1"/>
  <c r="P36" i="8"/>
  <c r="O36" i="8" s="1"/>
  <c r="B36" i="8"/>
  <c r="A36" i="8" s="1"/>
  <c r="V20" i="8"/>
  <c r="U20" i="8" s="1"/>
  <c r="P20" i="8"/>
  <c r="O20" i="8" s="1"/>
  <c r="B20" i="8"/>
  <c r="A20" i="8" s="1"/>
  <c r="V12" i="8"/>
  <c r="U12" i="8" s="1"/>
  <c r="P12" i="8"/>
  <c r="O12" i="8" s="1"/>
  <c r="B12" i="8"/>
  <c r="A12" i="8" s="1"/>
  <c r="V80" i="8"/>
  <c r="U80" i="8" s="1"/>
  <c r="D80" i="8"/>
  <c r="C80" i="8" s="1"/>
  <c r="L80" i="8"/>
  <c r="K80" i="8" s="1"/>
  <c r="J48" i="8"/>
  <c r="I48" i="8" s="1"/>
  <c r="D48" i="8"/>
  <c r="C48" i="8" s="1"/>
  <c r="L48" i="8"/>
  <c r="K48" i="8" s="1"/>
  <c r="R32" i="8"/>
  <c r="Q32" i="8" s="1"/>
  <c r="N32" i="8"/>
  <c r="M32" i="8" s="1"/>
  <c r="L32" i="8"/>
  <c r="K32" i="8" s="1"/>
  <c r="L19" i="8"/>
  <c r="K19" i="8" s="1"/>
  <c r="T19" i="8"/>
  <c r="S19" i="8" s="1"/>
  <c r="X19" i="8"/>
  <c r="W19" i="8" s="1"/>
  <c r="F58" i="8"/>
  <c r="E58" i="8" s="1"/>
  <c r="R58" i="8"/>
  <c r="Q58" i="8" s="1"/>
  <c r="V58" i="8"/>
  <c r="U58" i="8" s="1"/>
  <c r="F56" i="8"/>
  <c r="E56" i="8" s="1"/>
  <c r="D56" i="8"/>
  <c r="C56" i="8" s="1"/>
  <c r="L56" i="8"/>
  <c r="K56" i="8" s="1"/>
  <c r="T13" i="8"/>
  <c r="S13" i="8" s="1"/>
  <c r="P13" i="8"/>
  <c r="O13" i="8" s="1"/>
  <c r="R13" i="8"/>
  <c r="Q13" i="8" s="1"/>
  <c r="AL21" i="8"/>
  <c r="AR21" i="8" s="1"/>
  <c r="F70" i="8"/>
  <c r="E70" i="8" s="1"/>
  <c r="D70" i="8"/>
  <c r="C70" i="8" s="1"/>
  <c r="J70" i="8"/>
  <c r="I70" i="8" s="1"/>
  <c r="N38" i="8"/>
  <c r="M38" i="8" s="1"/>
  <c r="F38" i="8"/>
  <c r="E38" i="8" s="1"/>
  <c r="J38" i="8"/>
  <c r="I38" i="8" s="1"/>
  <c r="X82" i="8"/>
  <c r="W82" i="8" s="1"/>
  <c r="D82" i="8"/>
  <c r="C82" i="8" s="1"/>
  <c r="J82" i="8"/>
  <c r="I82" i="8" s="1"/>
  <c r="D50" i="8"/>
  <c r="C50" i="8" s="1"/>
  <c r="X50" i="8"/>
  <c r="W50" i="8" s="1"/>
  <c r="J50" i="8"/>
  <c r="I50" i="8" s="1"/>
  <c r="F68" i="8"/>
  <c r="E68" i="8" s="1"/>
  <c r="V68" i="8"/>
  <c r="U68" i="8" s="1"/>
  <c r="P68" i="8"/>
  <c r="O68" i="8" s="1"/>
  <c r="H52" i="8"/>
  <c r="G52" i="8" s="1"/>
  <c r="R52" i="8"/>
  <c r="Q52" i="8" s="1"/>
  <c r="P52" i="8"/>
  <c r="O52" i="8" s="1"/>
  <c r="H36" i="8"/>
  <c r="G36" i="8" s="1"/>
  <c r="R36" i="8"/>
  <c r="Q36" i="8" s="1"/>
  <c r="X36" i="8"/>
  <c r="W36" i="8" s="1"/>
  <c r="H20" i="8"/>
  <c r="G20" i="8" s="1"/>
  <c r="R20" i="8"/>
  <c r="Q20" i="8" s="1"/>
  <c r="X20" i="8"/>
  <c r="W20" i="8" s="1"/>
  <c r="H12" i="8"/>
  <c r="G12" i="8" s="1"/>
  <c r="R12" i="8"/>
  <c r="Q12" i="8" s="1"/>
  <c r="X12" i="8"/>
  <c r="W12" i="8" s="1"/>
  <c r="R80" i="8"/>
  <c r="Q80" i="8" s="1"/>
  <c r="N80" i="8"/>
  <c r="M80" i="8" s="1"/>
  <c r="B80" i="8"/>
  <c r="A80" i="8" s="1"/>
  <c r="R48" i="8"/>
  <c r="Q48" i="8" s="1"/>
  <c r="N48" i="8"/>
  <c r="M48" i="8" s="1"/>
  <c r="B48" i="8"/>
  <c r="A48" i="8" s="1"/>
  <c r="H32" i="8"/>
  <c r="G32" i="8" s="1"/>
  <c r="P32" i="8"/>
  <c r="O32" i="8" s="1"/>
  <c r="B32" i="8"/>
  <c r="A32" i="8" s="1"/>
  <c r="D19" i="8"/>
  <c r="C19" i="8" s="1"/>
  <c r="V19" i="8"/>
  <c r="U19" i="8" s="1"/>
  <c r="B19" i="8"/>
  <c r="A19" i="8" s="1"/>
  <c r="L58" i="8"/>
  <c r="K58" i="8" s="1"/>
  <c r="H58" i="8"/>
  <c r="G58" i="8" s="1"/>
  <c r="B58" i="8"/>
  <c r="A58" i="8" s="1"/>
  <c r="R56" i="8"/>
  <c r="Q56" i="8" s="1"/>
  <c r="N56" i="8"/>
  <c r="M56" i="8" s="1"/>
  <c r="B56" i="8"/>
  <c r="A56" i="8" s="1"/>
  <c r="V13" i="8"/>
  <c r="U13" i="8" s="1"/>
  <c r="X13" i="8"/>
  <c r="W13" i="8" s="1"/>
  <c r="B13" i="8"/>
  <c r="A13" i="8" s="1"/>
  <c r="N70" i="8"/>
  <c r="M70" i="8" s="1"/>
  <c r="L70" i="8"/>
  <c r="K70" i="8" s="1"/>
  <c r="P38" i="8"/>
  <c r="O38" i="8" s="1"/>
  <c r="L38" i="8"/>
  <c r="K38" i="8" s="1"/>
  <c r="L82" i="8"/>
  <c r="K82" i="8" s="1"/>
  <c r="F82" i="8"/>
  <c r="E82" i="8" s="1"/>
  <c r="N50" i="8"/>
  <c r="M50" i="8" s="1"/>
  <c r="F50" i="8"/>
  <c r="E50" i="8" s="1"/>
  <c r="H68" i="8"/>
  <c r="G68" i="8" s="1"/>
  <c r="R68" i="8"/>
  <c r="Q68" i="8" s="1"/>
  <c r="J52" i="8"/>
  <c r="I52" i="8" s="1"/>
  <c r="F52" i="8"/>
  <c r="E52" i="8" s="1"/>
  <c r="J36" i="8"/>
  <c r="I36" i="8" s="1"/>
  <c r="D36" i="8"/>
  <c r="C36" i="8" s="1"/>
  <c r="J20" i="8"/>
  <c r="I20" i="8" s="1"/>
  <c r="D20" i="8"/>
  <c r="C20" i="8" s="1"/>
  <c r="J12" i="8"/>
  <c r="I12" i="8" s="1"/>
  <c r="D12" i="8"/>
  <c r="C12" i="8" s="1"/>
  <c r="F80" i="8"/>
  <c r="E80" i="8" s="1"/>
  <c r="H80" i="8"/>
  <c r="G80" i="8" s="1"/>
  <c r="F48" i="8"/>
  <c r="E48" i="8" s="1"/>
  <c r="T48" i="8"/>
  <c r="S48" i="8" s="1"/>
  <c r="J32" i="8"/>
  <c r="I32" i="8" s="1"/>
  <c r="T32" i="8"/>
  <c r="S32" i="8" s="1"/>
  <c r="F19" i="8"/>
  <c r="E19" i="8" s="1"/>
  <c r="H19" i="8"/>
  <c r="G19" i="8" s="1"/>
  <c r="P58" i="8"/>
  <c r="O58" i="8" s="1"/>
  <c r="D58" i="8"/>
  <c r="C58" i="8" s="1"/>
  <c r="T56" i="8"/>
  <c r="S56" i="8" s="1"/>
  <c r="H56" i="8"/>
  <c r="G56" i="8" s="1"/>
  <c r="D13" i="8"/>
  <c r="C13" i="8" s="1"/>
  <c r="H13" i="8"/>
  <c r="AL16" i="8"/>
  <c r="AR16" i="8" s="1"/>
  <c r="F4" i="8"/>
  <c r="E4" i="8" s="1"/>
  <c r="L9" i="8"/>
  <c r="K9" i="8" s="1"/>
  <c r="T9" i="8"/>
  <c r="S9" i="8" s="1"/>
  <c r="H9" i="8"/>
  <c r="G9" i="8" s="1"/>
  <c r="B9" i="8"/>
  <c r="A9" i="8" s="1"/>
  <c r="X9" i="8"/>
  <c r="W9" i="8" s="1"/>
  <c r="V9" i="8"/>
  <c r="P9" i="8"/>
  <c r="O9" i="8" s="1"/>
  <c r="N9" i="8"/>
  <c r="J9" i="8"/>
  <c r="D9" i="8"/>
  <c r="C9" i="8" s="1"/>
  <c r="F9" i="8"/>
  <c r="E9" i="8" s="1"/>
  <c r="R9" i="8"/>
  <c r="Q9" i="8" s="1"/>
  <c r="B4" i="8"/>
  <c r="A4" i="8" s="1"/>
  <c r="P4" i="8"/>
  <c r="O4" i="8" s="1"/>
  <c r="V4" i="8"/>
  <c r="U4" i="8" s="1"/>
  <c r="B6" i="8"/>
  <c r="A6" i="8" s="1"/>
  <c r="X6" i="8"/>
  <c r="W6" i="8" s="1"/>
  <c r="T6" i="8"/>
  <c r="S6" i="8" s="1"/>
  <c r="V6" i="8"/>
  <c r="U6" i="8" s="1"/>
  <c r="L6" i="8"/>
  <c r="K6" i="8" s="1"/>
  <c r="P6" i="8"/>
  <c r="O6" i="8" s="1"/>
  <c r="F6" i="8"/>
  <c r="J6" i="8"/>
  <c r="I6" i="8" s="1"/>
  <c r="D6" i="8"/>
  <c r="C6" i="8" s="1"/>
  <c r="N6" i="8"/>
  <c r="M6" i="8" s="1"/>
  <c r="R6" i="8"/>
  <c r="Q6" i="8" s="1"/>
  <c r="H6" i="8"/>
  <c r="G6" i="8" s="1"/>
  <c r="H3" i="8"/>
  <c r="N3" i="8"/>
  <c r="M3" i="8" s="1"/>
  <c r="R3" i="8"/>
  <c r="Q3" i="8" s="1"/>
  <c r="B3" i="8"/>
  <c r="A3" i="8" s="1"/>
  <c r="F3" i="8"/>
  <c r="E3" i="8" s="1"/>
  <c r="D3" i="8"/>
  <c r="C3" i="8" s="1"/>
  <c r="X3" i="8"/>
  <c r="W3" i="8" s="1"/>
  <c r="J3" i="8"/>
  <c r="I3" i="8" s="1"/>
  <c r="T3" i="8"/>
  <c r="S3" i="8" s="1"/>
  <c r="V3" i="8"/>
  <c r="U3" i="8" s="1"/>
  <c r="P3" i="8"/>
  <c r="O3" i="8" s="1"/>
  <c r="L3" i="8"/>
  <c r="K3" i="8" s="1"/>
  <c r="V10" i="8"/>
  <c r="U10" i="8" s="1"/>
  <c r="N10" i="8"/>
  <c r="X10" i="8"/>
  <c r="W10" i="8" s="1"/>
  <c r="J10" i="8"/>
  <c r="I10" i="8" s="1"/>
  <c r="F10" i="8"/>
  <c r="B10" i="8"/>
  <c r="A10" i="8" s="1"/>
  <c r="P10" i="8"/>
  <c r="O10" i="8" s="1"/>
  <c r="D10" i="8"/>
  <c r="C10" i="8" s="1"/>
  <c r="R10" i="8"/>
  <c r="Q10" i="8" s="1"/>
  <c r="H10" i="8"/>
  <c r="G10" i="8" s="1"/>
  <c r="L10" i="8"/>
  <c r="K10" i="8" s="1"/>
  <c r="T10" i="8"/>
  <c r="C3" i="10" l="1"/>
  <c r="D4" i="10" s="1"/>
  <c r="AP3" i="8"/>
  <c r="AU3" i="8" s="1"/>
  <c r="E3" i="10" s="1"/>
  <c r="J16" i="8"/>
  <c r="I16" i="8" s="1"/>
  <c r="N16" i="8"/>
  <c r="M16" i="8" s="1"/>
  <c r="L16" i="8"/>
  <c r="K16" i="8" s="1"/>
  <c r="B16" i="8"/>
  <c r="A16" i="8" s="1"/>
  <c r="X16" i="8"/>
  <c r="W16" i="8" s="1"/>
  <c r="F16" i="8"/>
  <c r="P16" i="8"/>
  <c r="O16" i="8" s="1"/>
  <c r="T16" i="8"/>
  <c r="S16" i="8" s="1"/>
  <c r="D16" i="8"/>
  <c r="C16" i="8" s="1"/>
  <c r="H16" i="8"/>
  <c r="G16" i="8" s="1"/>
  <c r="R16" i="8"/>
  <c r="Q16" i="8" s="1"/>
  <c r="V16" i="8"/>
  <c r="U16" i="8" s="1"/>
  <c r="H8" i="8"/>
  <c r="X8" i="8"/>
  <c r="D8" i="8"/>
  <c r="C8" i="8" s="1"/>
  <c r="J8" i="8"/>
  <c r="L8" i="8"/>
  <c r="K8" i="8" s="1"/>
  <c r="N8" i="8"/>
  <c r="M8" i="8" s="1"/>
  <c r="T8" i="8"/>
  <c r="S8" i="8" s="1"/>
  <c r="V8" i="8"/>
  <c r="U8" i="8" s="1"/>
  <c r="F8" i="8"/>
  <c r="E8" i="8" s="1"/>
  <c r="P8" i="8"/>
  <c r="O8" i="8" s="1"/>
  <c r="B8" i="8"/>
  <c r="A8" i="8" s="1"/>
  <c r="R8" i="8"/>
  <c r="Q8" i="8" s="1"/>
  <c r="V21" i="8"/>
  <c r="U21" i="8" s="1"/>
  <c r="X21" i="8"/>
  <c r="W21" i="8" s="1"/>
  <c r="B21" i="8"/>
  <c r="A21" i="8" s="1"/>
  <c r="R21" i="8"/>
  <c r="Q21" i="8" s="1"/>
  <c r="H21" i="8"/>
  <c r="G21" i="8" s="1"/>
  <c r="N21" i="8"/>
  <c r="M21" i="8" s="1"/>
  <c r="D21" i="8"/>
  <c r="C21" i="8" s="1"/>
  <c r="L21" i="8"/>
  <c r="K21" i="8" s="1"/>
  <c r="P21" i="8"/>
  <c r="O21" i="8" s="1"/>
  <c r="F21" i="8"/>
  <c r="E21" i="8" s="1"/>
  <c r="T21" i="8"/>
  <c r="S21" i="8" s="1"/>
  <c r="J21" i="8"/>
  <c r="I21" i="8" s="1"/>
  <c r="L4" i="8"/>
  <c r="K4" i="8" s="1"/>
  <c r="D4" i="8"/>
  <c r="C4" i="8" s="1"/>
  <c r="T4" i="8"/>
  <c r="S4" i="8" s="1"/>
  <c r="X4" i="8"/>
  <c r="W4" i="8" s="1"/>
  <c r="R4" i="8"/>
  <c r="Q4" i="8" s="1"/>
  <c r="N4" i="8"/>
  <c r="M4" i="8" s="1"/>
  <c r="J4" i="8"/>
  <c r="H4" i="8"/>
  <c r="G4" i="8" s="1"/>
  <c r="F5" i="8"/>
  <c r="E5" i="8" s="1"/>
  <c r="J5" i="8"/>
  <c r="I5" i="8" s="1"/>
  <c r="T5" i="8"/>
  <c r="S5" i="8" s="1"/>
  <c r="B5" i="8"/>
  <c r="A5" i="8" s="1"/>
  <c r="L5" i="8"/>
  <c r="K5" i="8" s="1"/>
  <c r="D5" i="8"/>
  <c r="C5" i="8" s="1"/>
  <c r="P5" i="8"/>
  <c r="O5" i="8" s="1"/>
  <c r="V5" i="8"/>
  <c r="U5" i="8" s="1"/>
  <c r="H5" i="8"/>
  <c r="G5" i="8" s="1"/>
  <c r="X5" i="8"/>
  <c r="W5" i="8" s="1"/>
  <c r="N5" i="8"/>
  <c r="D3" i="10" l="1"/>
  <c r="F6" i="10"/>
  <c r="F5" i="10"/>
  <c r="D6" i="10"/>
  <c r="D5" i="10"/>
  <c r="B7" i="8"/>
  <c r="A7" i="8" s="1"/>
  <c r="N7" i="8"/>
  <c r="M9" i="8" s="1"/>
  <c r="V7" i="8"/>
  <c r="T7" i="8"/>
  <c r="J7" i="8"/>
  <c r="I8" i="8" s="1"/>
  <c r="X7" i="8"/>
  <c r="F7" i="8"/>
  <c r="E10" i="8" s="1"/>
  <c r="D7" i="8"/>
  <c r="C7" i="8" s="1"/>
  <c r="P7" i="8"/>
  <c r="O7" i="8" s="1"/>
  <c r="L7" i="8"/>
  <c r="K7" i="8" s="1"/>
  <c r="H7" i="8"/>
  <c r="G8" i="8" s="1"/>
  <c r="R7" i="8"/>
  <c r="Q7" i="8" s="1"/>
  <c r="F3" i="10"/>
  <c r="F4" i="10"/>
  <c r="E16" i="8" l="1"/>
  <c r="M15" i="8"/>
  <c r="I19" i="8"/>
  <c r="G13" i="8"/>
  <c r="G18" i="8"/>
  <c r="I14" i="8"/>
  <c r="M20" i="8"/>
  <c r="M10" i="8"/>
  <c r="I9" i="8"/>
  <c r="C51" i="9"/>
  <c r="E40" i="9"/>
  <c r="D49" i="9"/>
  <c r="B43" i="9"/>
  <c r="D47" i="9"/>
  <c r="D43" i="9"/>
  <c r="B52" i="9"/>
  <c r="B47" i="9"/>
  <c r="C43" i="9"/>
  <c r="B40" i="9"/>
  <c r="D45" i="9"/>
  <c r="B46" i="9"/>
  <c r="E53" i="9"/>
  <c r="D41" i="9"/>
  <c r="E50" i="9"/>
  <c r="B39" i="9"/>
  <c r="C40" i="9"/>
  <c r="E39" i="9"/>
  <c r="D53" i="9"/>
  <c r="E52" i="9"/>
  <c r="E51" i="9"/>
  <c r="E43" i="9"/>
  <c r="C47" i="9"/>
  <c r="C45" i="9"/>
  <c r="D48" i="9"/>
  <c r="C52" i="9"/>
  <c r="C46" i="9"/>
  <c r="B51" i="9"/>
  <c r="D52" i="9"/>
  <c r="D46" i="9"/>
  <c r="E44" i="9"/>
  <c r="C41" i="9"/>
  <c r="B50" i="9"/>
  <c r="D39" i="9"/>
  <c r="C49" i="9"/>
  <c r="C48" i="9"/>
  <c r="B42" i="9"/>
  <c r="B48" i="9"/>
  <c r="C53" i="9"/>
  <c r="E48" i="9"/>
  <c r="C39" i="9"/>
  <c r="D42" i="9"/>
  <c r="B41" i="9"/>
  <c r="E42" i="9"/>
  <c r="C42" i="9"/>
  <c r="D44" i="9"/>
  <c r="D51" i="9"/>
  <c r="E41" i="9"/>
  <c r="D50" i="9"/>
  <c r="E49" i="9"/>
  <c r="E46" i="9"/>
  <c r="C50" i="9"/>
  <c r="D40" i="9"/>
  <c r="B45" i="9"/>
  <c r="E45" i="9"/>
  <c r="B53" i="9"/>
  <c r="C44" i="9"/>
  <c r="B49" i="9"/>
  <c r="E47" i="9"/>
  <c r="B44" i="9"/>
  <c r="S7" i="8"/>
  <c r="S10" i="8"/>
  <c r="G7" i="8"/>
  <c r="G3" i="8"/>
  <c r="E7" i="8"/>
  <c r="E6" i="8"/>
  <c r="U7" i="8"/>
  <c r="U9" i="8"/>
  <c r="J10" i="9"/>
  <c r="I7" i="9"/>
  <c r="I5" i="9"/>
  <c r="H6" i="9"/>
  <c r="J15" i="9"/>
  <c r="H4" i="9"/>
  <c r="I12" i="9"/>
  <c r="I10" i="9"/>
  <c r="G12" i="9"/>
  <c r="G3" i="9"/>
  <c r="H17" i="9"/>
  <c r="H5" i="9"/>
  <c r="I3" i="9"/>
  <c r="H13" i="9"/>
  <c r="G11" i="9"/>
  <c r="G14" i="9"/>
  <c r="H11" i="9"/>
  <c r="I15" i="9"/>
  <c r="I17" i="9"/>
  <c r="H15" i="9"/>
  <c r="J3" i="9"/>
  <c r="I4" i="9"/>
  <c r="J16" i="9"/>
  <c r="H14" i="9"/>
  <c r="G4" i="9"/>
  <c r="G17" i="9"/>
  <c r="G8" i="9"/>
  <c r="H7" i="9"/>
  <c r="G15" i="9"/>
  <c r="J6" i="9"/>
  <c r="I16" i="9"/>
  <c r="G13" i="9"/>
  <c r="H3" i="9"/>
  <c r="G16" i="9"/>
  <c r="G7" i="9"/>
  <c r="G10" i="9"/>
  <c r="J8" i="9"/>
  <c r="J4" i="9"/>
  <c r="J11" i="9"/>
  <c r="J9" i="9"/>
  <c r="I14" i="9"/>
  <c r="H10" i="9"/>
  <c r="J12" i="9"/>
  <c r="H16" i="9"/>
  <c r="J17" i="9"/>
  <c r="H8" i="9"/>
  <c r="I11" i="9"/>
  <c r="I13" i="9"/>
  <c r="J5" i="9"/>
  <c r="G9" i="9"/>
  <c r="I6" i="9"/>
  <c r="I8" i="9"/>
  <c r="I9" i="9"/>
  <c r="J7" i="9"/>
  <c r="G6" i="9"/>
  <c r="H9" i="9"/>
  <c r="J13" i="9"/>
  <c r="G5" i="9"/>
  <c r="J14" i="9"/>
  <c r="H12" i="9"/>
  <c r="J33" i="9"/>
  <c r="J30" i="9"/>
  <c r="I28" i="9"/>
  <c r="G35" i="9"/>
  <c r="I29" i="9"/>
  <c r="I25" i="9"/>
  <c r="I31" i="9"/>
  <c r="I32" i="9"/>
  <c r="J26" i="9"/>
  <c r="J32" i="9"/>
  <c r="J35" i="9"/>
  <c r="G31" i="9"/>
  <c r="I24" i="9"/>
  <c r="H35" i="9"/>
  <c r="H32" i="9"/>
  <c r="I23" i="9"/>
  <c r="J24" i="9"/>
  <c r="G29" i="9"/>
  <c r="J22" i="9"/>
  <c r="I27" i="9"/>
  <c r="I35" i="9"/>
  <c r="I26" i="9"/>
  <c r="J29" i="9"/>
  <c r="J31" i="9"/>
  <c r="H31" i="9"/>
  <c r="H23" i="9"/>
  <c r="G34" i="9"/>
  <c r="J25" i="9"/>
  <c r="H22" i="9"/>
  <c r="G33" i="9"/>
  <c r="I21" i="9"/>
  <c r="G26" i="9"/>
  <c r="H28" i="9"/>
  <c r="G30" i="9"/>
  <c r="H27" i="9"/>
  <c r="H30" i="9"/>
  <c r="J34" i="9"/>
  <c r="H34" i="9"/>
  <c r="G24" i="9"/>
  <c r="I33" i="9"/>
  <c r="G32" i="9"/>
  <c r="G28" i="9"/>
  <c r="H21" i="9"/>
  <c r="J21" i="9"/>
  <c r="J23" i="9"/>
  <c r="H24" i="9"/>
  <c r="G22" i="9"/>
  <c r="G21" i="9"/>
  <c r="I34" i="9"/>
  <c r="H33" i="9"/>
  <c r="H29" i="9"/>
  <c r="J28" i="9"/>
  <c r="H25" i="9"/>
  <c r="G27" i="9"/>
  <c r="G23" i="9"/>
  <c r="I22" i="9"/>
  <c r="H26" i="9"/>
  <c r="I30" i="9"/>
  <c r="G25" i="9"/>
  <c r="J27" i="9"/>
  <c r="W7" i="8"/>
  <c r="W8" i="8"/>
  <c r="M7" i="8"/>
  <c r="M5" i="8"/>
  <c r="R27" i="9"/>
  <c r="Q28" i="9"/>
  <c r="S33" i="9"/>
  <c r="R32" i="9"/>
  <c r="S31" i="9"/>
  <c r="T28" i="9"/>
  <c r="Q33" i="9"/>
  <c r="S22" i="9"/>
  <c r="S29" i="9"/>
  <c r="S25" i="9"/>
  <c r="Q29" i="9"/>
  <c r="T26" i="9"/>
  <c r="T21" i="9"/>
  <c r="Q23" i="9"/>
  <c r="T34" i="9"/>
  <c r="S34" i="9"/>
  <c r="Q27" i="9"/>
  <c r="T30" i="9"/>
  <c r="Q25" i="9"/>
  <c r="R28" i="9"/>
  <c r="Q31" i="9"/>
  <c r="T25" i="9"/>
  <c r="R31" i="9"/>
  <c r="T32" i="9"/>
  <c r="R33" i="9"/>
  <c r="R29" i="9"/>
  <c r="Q26" i="9"/>
  <c r="Q22" i="9"/>
  <c r="S30" i="9"/>
  <c r="S27" i="9"/>
  <c r="T35" i="9"/>
  <c r="Q34" i="9"/>
  <c r="Q32" i="9"/>
  <c r="S23" i="9"/>
  <c r="R34" i="9"/>
  <c r="R23" i="9"/>
  <c r="R30" i="9"/>
  <c r="R21" i="9"/>
  <c r="R24" i="9"/>
  <c r="T27" i="9"/>
  <c r="S32" i="9"/>
  <c r="T31" i="9"/>
  <c r="S21" i="9"/>
  <c r="T23" i="9"/>
  <c r="S24" i="9"/>
  <c r="S28" i="9"/>
  <c r="Q21" i="9"/>
  <c r="T33" i="9"/>
  <c r="Q35" i="9"/>
  <c r="R25" i="9"/>
  <c r="Q24" i="9"/>
  <c r="S26" i="9"/>
  <c r="Q30" i="9"/>
  <c r="T29" i="9"/>
  <c r="T22" i="9"/>
  <c r="R35" i="9"/>
  <c r="T24" i="9"/>
  <c r="R22" i="9"/>
  <c r="R26" i="9"/>
  <c r="S35" i="9"/>
  <c r="I7" i="8"/>
  <c r="I4" i="8"/>
  <c r="D4" i="9"/>
  <c r="B17" i="9"/>
  <c r="D5" i="9"/>
  <c r="D16" i="9"/>
  <c r="C13" i="9"/>
  <c r="B11" i="9"/>
  <c r="D9" i="9"/>
  <c r="E8" i="9"/>
  <c r="E12" i="9"/>
  <c r="E4" i="9"/>
  <c r="E10" i="9"/>
  <c r="B14" i="9"/>
  <c r="E15" i="9"/>
  <c r="C12" i="9"/>
  <c r="D8" i="9"/>
  <c r="C14" i="9"/>
  <c r="D15" i="9"/>
  <c r="B5" i="9"/>
  <c r="C15" i="9"/>
  <c r="C16" i="9"/>
  <c r="C8" i="9"/>
  <c r="D14" i="9"/>
  <c r="B12" i="9"/>
  <c r="D17" i="9"/>
  <c r="C3" i="9"/>
  <c r="C6" i="9"/>
  <c r="E9" i="9"/>
  <c r="E13" i="9"/>
  <c r="B9" i="9"/>
  <c r="D3" i="9"/>
  <c r="D7" i="9"/>
  <c r="D11" i="9"/>
  <c r="B16" i="9"/>
  <c r="E14" i="9"/>
  <c r="D6" i="9"/>
  <c r="E11" i="9"/>
  <c r="C17" i="9"/>
  <c r="D10" i="9"/>
  <c r="C11" i="9"/>
  <c r="D13" i="9"/>
  <c r="C9" i="9"/>
  <c r="B4" i="9"/>
  <c r="E5" i="9"/>
  <c r="B6" i="9"/>
  <c r="D12" i="9"/>
  <c r="C5" i="9"/>
  <c r="B15" i="9"/>
  <c r="E16" i="9"/>
  <c r="B10" i="9"/>
  <c r="B3" i="9"/>
  <c r="B13" i="9"/>
  <c r="E17" i="9"/>
  <c r="E7" i="9"/>
  <c r="E6" i="9"/>
  <c r="C7" i="9"/>
  <c r="C4" i="9"/>
  <c r="E3" i="9"/>
  <c r="B8" i="9"/>
  <c r="C10" i="9"/>
  <c r="B7" i="9"/>
  <c r="N47" i="9" l="1"/>
  <c r="I40" i="9"/>
  <c r="I39" i="9"/>
  <c r="H50" i="9"/>
  <c r="G44" i="9"/>
  <c r="I43" i="9"/>
  <c r="H44" i="9"/>
  <c r="J52" i="9"/>
  <c r="H47" i="9"/>
  <c r="H45" i="9"/>
  <c r="H51" i="9"/>
  <c r="H40" i="9"/>
  <c r="I44" i="9"/>
  <c r="H41" i="9"/>
  <c r="I50" i="9"/>
  <c r="J50" i="9"/>
  <c r="J42" i="9"/>
  <c r="I48" i="9"/>
  <c r="G41" i="9"/>
  <c r="I47" i="9"/>
  <c r="J51" i="9"/>
  <c r="J40" i="9"/>
  <c r="J48" i="9"/>
  <c r="I53" i="9"/>
  <c r="J45" i="9"/>
  <c r="I41" i="9"/>
  <c r="H46" i="9"/>
  <c r="J44" i="9"/>
  <c r="G46" i="9"/>
  <c r="H48" i="9"/>
  <c r="J53" i="9"/>
  <c r="G47" i="9"/>
  <c r="G53" i="9"/>
  <c r="I52" i="9"/>
  <c r="G48" i="9"/>
  <c r="H52" i="9"/>
  <c r="G40" i="9"/>
  <c r="J47" i="9"/>
  <c r="J39" i="9"/>
  <c r="I51" i="9"/>
  <c r="H42" i="9"/>
  <c r="I42" i="9"/>
  <c r="G50" i="9"/>
  <c r="I45" i="9"/>
  <c r="J49" i="9"/>
  <c r="H43" i="9"/>
  <c r="I46" i="9"/>
  <c r="J46" i="9"/>
  <c r="H49" i="9"/>
  <c r="J41" i="9"/>
  <c r="G52" i="9"/>
  <c r="G45" i="9"/>
  <c r="G42" i="9"/>
  <c r="I49" i="9"/>
  <c r="H53" i="9"/>
  <c r="G39" i="9"/>
  <c r="G49" i="9"/>
  <c r="G51" i="9"/>
  <c r="H39" i="9"/>
  <c r="J43" i="9"/>
  <c r="O24" i="9"/>
  <c r="N21" i="9"/>
  <c r="N27" i="9"/>
  <c r="N26" i="9"/>
  <c r="N30" i="9"/>
  <c r="M24" i="9"/>
  <c r="O35" i="9"/>
  <c r="N25" i="9"/>
  <c r="O34" i="9"/>
  <c r="N33" i="9"/>
  <c r="M27" i="9"/>
  <c r="O30" i="9"/>
  <c r="N28" i="9"/>
  <c r="M21" i="9"/>
  <c r="N31" i="9"/>
  <c r="N32" i="9"/>
  <c r="L24" i="9"/>
  <c r="L29" i="9"/>
  <c r="M28" i="9"/>
  <c r="M23" i="9"/>
  <c r="L35" i="9"/>
  <c r="O28" i="9"/>
  <c r="N23" i="9"/>
  <c r="M22" i="9"/>
  <c r="L25" i="9"/>
  <c r="L34" i="9"/>
  <c r="O31" i="9"/>
  <c r="N29" i="9"/>
  <c r="L28" i="9"/>
  <c r="O27" i="9"/>
  <c r="N24" i="9"/>
  <c r="O33" i="9"/>
  <c r="N22" i="9"/>
  <c r="L31" i="9"/>
  <c r="O29" i="9"/>
  <c r="M32" i="9"/>
  <c r="O32" i="9"/>
  <c r="M29" i="9"/>
  <c r="L23" i="9"/>
  <c r="O21" i="9"/>
  <c r="O26" i="9"/>
  <c r="N34" i="9"/>
  <c r="M35" i="9"/>
  <c r="N35" i="9"/>
  <c r="M34" i="9"/>
  <c r="L33" i="9"/>
  <c r="L32" i="9"/>
  <c r="O23" i="9"/>
  <c r="M33" i="9"/>
  <c r="L27" i="9"/>
  <c r="M26" i="9"/>
  <c r="L26" i="9"/>
  <c r="O25" i="9"/>
  <c r="L21" i="9"/>
  <c r="L22" i="9"/>
  <c r="M31" i="9"/>
  <c r="M30" i="9"/>
  <c r="M25" i="9"/>
  <c r="O22" i="9"/>
  <c r="L30" i="9"/>
  <c r="S3" i="9"/>
  <c r="Q5" i="9"/>
  <c r="S9" i="9"/>
  <c r="Q12" i="9"/>
  <c r="T3" i="9"/>
  <c r="Q10" i="9"/>
  <c r="R12" i="9"/>
  <c r="S11" i="9"/>
  <c r="Q9" i="9"/>
  <c r="R13" i="9"/>
  <c r="S8" i="9"/>
  <c r="Q17" i="9"/>
  <c r="S15" i="9"/>
  <c r="R14" i="9"/>
  <c r="T9" i="9"/>
  <c r="R8" i="9"/>
  <c r="Q7" i="9"/>
  <c r="S14" i="9"/>
  <c r="R3" i="9"/>
  <c r="T12" i="9"/>
  <c r="R5" i="9"/>
  <c r="R17" i="9"/>
  <c r="Q16" i="9"/>
  <c r="S12" i="9"/>
  <c r="T15" i="9"/>
  <c r="T8" i="9"/>
  <c r="T5" i="9"/>
  <c r="Q11" i="9"/>
  <c r="T11" i="9"/>
  <c r="S16" i="9"/>
  <c r="R11" i="9"/>
  <c r="Q4" i="9"/>
  <c r="S10" i="9"/>
  <c r="R4" i="9"/>
  <c r="R16" i="9"/>
  <c r="T16" i="9"/>
  <c r="Q14" i="9"/>
  <c r="Q3" i="9"/>
  <c r="R6" i="9"/>
  <c r="S17" i="9"/>
  <c r="S7" i="9"/>
  <c r="R10" i="9"/>
  <c r="Q8" i="9"/>
  <c r="T13" i="9"/>
  <c r="S6" i="9"/>
  <c r="S5" i="9"/>
  <c r="T17" i="9"/>
  <c r="T7" i="9"/>
  <c r="R9" i="9"/>
  <c r="Q6" i="9"/>
  <c r="T10" i="9"/>
  <c r="T4" i="9"/>
  <c r="T6" i="9"/>
  <c r="R15" i="9"/>
  <c r="T14" i="9"/>
  <c r="S4" i="9"/>
  <c r="S13" i="9"/>
  <c r="R7" i="9"/>
  <c r="Q15" i="9"/>
  <c r="Q13" i="9"/>
  <c r="L43" i="9"/>
  <c r="N51" i="9"/>
  <c r="O46" i="9"/>
  <c r="L51" i="9"/>
  <c r="N39" i="9"/>
  <c r="O44" i="9"/>
  <c r="N50" i="9"/>
  <c r="L47" i="9"/>
  <c r="L40" i="9"/>
  <c r="O41" i="9"/>
  <c r="L41" i="9"/>
  <c r="N48" i="9"/>
  <c r="L45" i="9"/>
  <c r="O40" i="9"/>
  <c r="M43" i="9"/>
  <c r="O45" i="9"/>
  <c r="N46" i="9"/>
  <c r="L52" i="9"/>
  <c r="O43" i="9"/>
  <c r="L53" i="9"/>
  <c r="O48" i="9"/>
  <c r="N44" i="9"/>
  <c r="L39" i="9"/>
  <c r="O53" i="9"/>
  <c r="M41" i="9"/>
  <c r="O51" i="9"/>
  <c r="L48" i="9"/>
  <c r="L50" i="9"/>
  <c r="M50" i="9"/>
  <c r="N42" i="9"/>
  <c r="M48" i="9"/>
  <c r="N45" i="9"/>
  <c r="M53" i="9"/>
  <c r="M42" i="9"/>
  <c r="L46" i="9"/>
  <c r="M52" i="9"/>
  <c r="N40" i="9"/>
  <c r="M47" i="9"/>
  <c r="M46" i="9"/>
  <c r="O47" i="9"/>
  <c r="N41" i="9"/>
  <c r="M39" i="9"/>
  <c r="L44" i="9"/>
  <c r="N49" i="9"/>
  <c r="O52" i="9"/>
  <c r="N43" i="9"/>
  <c r="O42" i="9"/>
  <c r="M40" i="9"/>
  <c r="L49" i="9"/>
  <c r="N52" i="9"/>
  <c r="M49" i="9"/>
  <c r="M51" i="9"/>
  <c r="O50" i="9"/>
  <c r="N53" i="9"/>
  <c r="M44" i="9"/>
  <c r="M45" i="9"/>
  <c r="O49" i="9"/>
  <c r="O39" i="9"/>
  <c r="L42" i="9"/>
  <c r="S43" i="9"/>
  <c r="R51" i="9"/>
  <c r="S53" i="9"/>
  <c r="S41" i="9"/>
  <c r="Q39" i="9"/>
  <c r="T47" i="9"/>
  <c r="R49" i="9"/>
  <c r="Q42" i="9"/>
  <c r="T51" i="9"/>
  <c r="S42" i="9"/>
  <c r="R39" i="9"/>
  <c r="R45" i="9"/>
  <c r="Q43" i="9"/>
  <c r="R43" i="9"/>
  <c r="T43" i="9"/>
  <c r="S46" i="9"/>
  <c r="Q41" i="9"/>
  <c r="R46" i="9"/>
  <c r="T46" i="9"/>
  <c r="S40" i="9"/>
  <c r="Q53" i="9"/>
  <c r="T45" i="9"/>
  <c r="Q47" i="9"/>
  <c r="Q52" i="9"/>
  <c r="S47" i="9"/>
  <c r="Q44" i="9"/>
  <c r="S50" i="9"/>
  <c r="R48" i="9"/>
  <c r="T49" i="9"/>
  <c r="R53" i="9"/>
  <c r="R44" i="9"/>
  <c r="Q46" i="9"/>
  <c r="T39" i="9"/>
  <c r="T44" i="9"/>
  <c r="R41" i="9"/>
  <c r="R47" i="9"/>
  <c r="S51" i="9"/>
  <c r="S44" i="9"/>
  <c r="R42" i="9"/>
  <c r="Q45" i="9"/>
  <c r="S49" i="9"/>
  <c r="Q48" i="9"/>
  <c r="T52" i="9"/>
  <c r="R52" i="9"/>
  <c r="Q51" i="9"/>
  <c r="Q40" i="9"/>
  <c r="Q50" i="9"/>
  <c r="T40" i="9"/>
  <c r="R50" i="9"/>
  <c r="S39" i="9"/>
  <c r="S45" i="9"/>
  <c r="T48" i="9"/>
  <c r="T41" i="9"/>
  <c r="Q49" i="9"/>
  <c r="T53" i="9"/>
  <c r="T42" i="9"/>
  <c r="R40" i="9"/>
  <c r="S48" i="9"/>
  <c r="T50" i="9"/>
  <c r="S52" i="9"/>
  <c r="B31" i="9"/>
  <c r="C31" i="9"/>
  <c r="B32" i="9"/>
  <c r="C23" i="9"/>
  <c r="B24" i="9"/>
  <c r="C27" i="9"/>
  <c r="B23" i="9"/>
  <c r="D31" i="9"/>
  <c r="B26" i="9"/>
  <c r="E23" i="9"/>
  <c r="B33" i="9"/>
  <c r="B21" i="9"/>
  <c r="B34" i="9"/>
  <c r="D27" i="9"/>
  <c r="C21" i="9"/>
  <c r="E35" i="9"/>
  <c r="C29" i="9"/>
  <c r="E24" i="9"/>
  <c r="D29" i="9"/>
  <c r="C22" i="9"/>
  <c r="B25" i="9"/>
  <c r="D24" i="9"/>
  <c r="E27" i="9"/>
  <c r="E22" i="9"/>
  <c r="D33" i="9"/>
  <c r="B35" i="9"/>
  <c r="C32" i="9"/>
  <c r="D32" i="9"/>
  <c r="E25" i="9"/>
  <c r="C35" i="9"/>
  <c r="E21" i="9"/>
  <c r="B30" i="9"/>
  <c r="C30" i="9"/>
  <c r="C28" i="9"/>
  <c r="E31" i="9"/>
  <c r="D23" i="9"/>
  <c r="E29" i="9"/>
  <c r="E28" i="9"/>
  <c r="E26" i="9"/>
  <c r="D26" i="9"/>
  <c r="D28" i="9"/>
  <c r="B27" i="9"/>
  <c r="D25" i="9"/>
  <c r="D34" i="9"/>
  <c r="D30" i="9"/>
  <c r="D22" i="9"/>
  <c r="D35" i="9"/>
  <c r="C24" i="9"/>
  <c r="C33" i="9"/>
  <c r="E30" i="9"/>
  <c r="D21" i="9"/>
  <c r="C34" i="9"/>
  <c r="E33" i="9"/>
  <c r="C26" i="9"/>
  <c r="E34" i="9"/>
  <c r="E32" i="9"/>
  <c r="B29" i="9"/>
  <c r="C25" i="9"/>
  <c r="B28" i="9"/>
  <c r="B22" i="9"/>
  <c r="O9" i="9"/>
  <c r="L9" i="9"/>
  <c r="O11" i="9"/>
  <c r="O15" i="9"/>
  <c r="M15" i="9"/>
  <c r="L12" i="9"/>
  <c r="O4" i="9"/>
  <c r="N13" i="9"/>
  <c r="L13" i="9"/>
  <c r="N15" i="9"/>
  <c r="M11" i="9"/>
  <c r="L5" i="9"/>
  <c r="N10" i="9"/>
  <c r="L17" i="9"/>
  <c r="N3" i="9"/>
  <c r="N8" i="9"/>
  <c r="L3" i="9"/>
  <c r="M17" i="9"/>
  <c r="M6" i="9"/>
  <c r="O6" i="9"/>
  <c r="O16" i="9"/>
  <c r="N5" i="9"/>
  <c r="M7" i="9"/>
  <c r="O5" i="9"/>
  <c r="L8" i="9"/>
  <c r="O7" i="9"/>
  <c r="M9" i="9"/>
  <c r="L4" i="9"/>
  <c r="O3" i="9"/>
  <c r="M4" i="9"/>
  <c r="L7" i="9"/>
  <c r="N4" i="9"/>
  <c r="L15" i="9"/>
  <c r="N9" i="9"/>
  <c r="O8" i="9"/>
  <c r="L16" i="9"/>
  <c r="N6" i="9"/>
  <c r="O13" i="9"/>
  <c r="M8" i="9"/>
  <c r="N12" i="9"/>
  <c r="M5" i="9"/>
  <c r="N11" i="9"/>
  <c r="O12" i="9"/>
  <c r="N17" i="9"/>
  <c r="M16" i="9"/>
  <c r="L14" i="9"/>
  <c r="M14" i="9"/>
  <c r="N14" i="9"/>
  <c r="L6" i="9"/>
  <c r="O14" i="9"/>
  <c r="N7" i="9"/>
  <c r="L11" i="9"/>
  <c r="O10" i="9"/>
  <c r="N16" i="9"/>
  <c r="M10" i="9"/>
  <c r="O17" i="9"/>
  <c r="M12" i="9"/>
  <c r="M13" i="9"/>
  <c r="M3" i="9"/>
  <c r="L10" i="9"/>
  <c r="G4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0100-000001000000}">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3" authorId="0" shapeId="0" xr:uid="{00000000-0006-0000-0100-000003000000}">
      <text>
        <r>
          <rPr>
            <b/>
            <sz val="9"/>
            <color indexed="81"/>
            <rFont val="Tahoma"/>
            <family val="2"/>
          </rPr>
          <t>Note:</t>
        </r>
        <r>
          <rPr>
            <sz val="9"/>
            <color indexed="81"/>
            <rFont val="Tahoma"/>
            <family val="2"/>
          </rPr>
          <t xml:space="preserve">
Please choose the competition level of the member.</t>
        </r>
      </text>
    </comment>
    <comment ref="C4" authorId="0" shapeId="0" xr:uid="{00000000-0006-0000-0100-000004000000}">
      <text>
        <r>
          <rPr>
            <b/>
            <sz val="9"/>
            <color indexed="81"/>
            <rFont val="Tahoma"/>
            <family val="2"/>
          </rPr>
          <t>Note:</t>
        </r>
        <r>
          <rPr>
            <sz val="9"/>
            <color indexed="81"/>
            <rFont val="Tahoma"/>
            <family val="2"/>
          </rPr>
          <t xml:space="preserve">
Please choose if the member is a captain</t>
        </r>
      </text>
    </comment>
    <comment ref="D11" authorId="0" shapeId="0" xr:uid="{33AF168D-9D3F-4886-9F02-FCBD3E2D39B8}">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1" authorId="0" shapeId="0" xr:uid="{6874073C-BAD5-48AD-B0C0-C70D317BEBD1}">
      <text>
        <r>
          <rPr>
            <b/>
            <sz val="9"/>
            <color indexed="81"/>
            <rFont val="Tahoma"/>
            <family val="2"/>
          </rPr>
          <t>Note:</t>
        </r>
        <r>
          <rPr>
            <sz val="9"/>
            <color indexed="81"/>
            <rFont val="Tahoma"/>
            <family val="2"/>
          </rPr>
          <t xml:space="preserve">
Please choose the competition level of the member.</t>
        </r>
      </text>
    </comment>
    <comment ref="C12" authorId="0" shapeId="0" xr:uid="{DA12DD74-A68A-4403-832E-C44387EA992D}">
      <text>
        <r>
          <rPr>
            <b/>
            <sz val="9"/>
            <color indexed="81"/>
            <rFont val="Tahoma"/>
            <family val="2"/>
          </rPr>
          <t>Note:</t>
        </r>
        <r>
          <rPr>
            <sz val="9"/>
            <color indexed="81"/>
            <rFont val="Tahoma"/>
            <family val="2"/>
          </rPr>
          <t xml:space="preserve">
Please choose if the member is a captain</t>
        </r>
      </text>
    </comment>
    <comment ref="D19" authorId="0" shapeId="0" xr:uid="{F1573AAC-9229-4F0A-A786-0F98BDDCEA27}">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9" authorId="0" shapeId="0" xr:uid="{6C8AD6FA-1BA5-48CA-B234-64656565D8A5}">
      <text>
        <r>
          <rPr>
            <b/>
            <sz val="9"/>
            <color indexed="81"/>
            <rFont val="Tahoma"/>
            <family val="2"/>
          </rPr>
          <t>Note:</t>
        </r>
        <r>
          <rPr>
            <sz val="9"/>
            <color indexed="81"/>
            <rFont val="Tahoma"/>
            <family val="2"/>
          </rPr>
          <t xml:space="preserve">
Please choose the competition level of the member.</t>
        </r>
      </text>
    </comment>
    <comment ref="C20" authorId="0" shapeId="0" xr:uid="{D0E5A08A-C6F7-4F10-BB6E-EFD2D37609A4}">
      <text>
        <r>
          <rPr>
            <b/>
            <sz val="9"/>
            <color indexed="81"/>
            <rFont val="Tahoma"/>
            <family val="2"/>
          </rPr>
          <t>Note:</t>
        </r>
        <r>
          <rPr>
            <sz val="9"/>
            <color indexed="81"/>
            <rFont val="Tahoma"/>
            <family val="2"/>
          </rPr>
          <t xml:space="preserve">
Please choose if the member is a captain</t>
        </r>
      </text>
    </comment>
    <comment ref="D27" authorId="0" shapeId="0" xr:uid="{8C2711D6-34AF-4F49-BB73-F5DC7D2A4E37}">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27" authorId="0" shapeId="0" xr:uid="{57BFF611-95CF-420C-9168-4B80DDABBB6D}">
      <text>
        <r>
          <rPr>
            <b/>
            <sz val="9"/>
            <color indexed="81"/>
            <rFont val="Tahoma"/>
            <family val="2"/>
          </rPr>
          <t>Note:</t>
        </r>
        <r>
          <rPr>
            <sz val="9"/>
            <color indexed="81"/>
            <rFont val="Tahoma"/>
            <family val="2"/>
          </rPr>
          <t xml:space="preserve">
Please choose the competition level of the member.</t>
        </r>
      </text>
    </comment>
    <comment ref="C28" authorId="0" shapeId="0" xr:uid="{0C37B47E-CE23-4350-B01A-8A2CC1644A0D}">
      <text>
        <r>
          <rPr>
            <b/>
            <sz val="9"/>
            <color indexed="81"/>
            <rFont val="Tahoma"/>
            <family val="2"/>
          </rPr>
          <t>Note:</t>
        </r>
        <r>
          <rPr>
            <sz val="9"/>
            <color indexed="81"/>
            <rFont val="Tahoma"/>
            <family val="2"/>
          </rPr>
          <t xml:space="preserve">
Please choose if the member is a captain</t>
        </r>
      </text>
    </comment>
    <comment ref="D35" authorId="0" shapeId="0" xr:uid="{478B888C-4254-4BFE-807E-20D16D154B4D}">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35" authorId="0" shapeId="0" xr:uid="{13E810CA-EBED-45D3-B0D2-EF10350E2CA1}">
      <text>
        <r>
          <rPr>
            <b/>
            <sz val="9"/>
            <color indexed="81"/>
            <rFont val="Tahoma"/>
            <family val="2"/>
          </rPr>
          <t>Note:</t>
        </r>
        <r>
          <rPr>
            <sz val="9"/>
            <color indexed="81"/>
            <rFont val="Tahoma"/>
            <family val="2"/>
          </rPr>
          <t xml:space="preserve">
Please choose the competition level of the member.</t>
        </r>
      </text>
    </comment>
    <comment ref="C36" authorId="0" shapeId="0" xr:uid="{90494228-3E57-4AA1-A1D2-371E59EF5F5B}">
      <text>
        <r>
          <rPr>
            <b/>
            <sz val="9"/>
            <color indexed="81"/>
            <rFont val="Tahoma"/>
            <family val="2"/>
          </rPr>
          <t>Note:</t>
        </r>
        <r>
          <rPr>
            <sz val="9"/>
            <color indexed="81"/>
            <rFont val="Tahoma"/>
            <family val="2"/>
          </rPr>
          <t xml:space="preserve">
Please choose if the member is a captain</t>
        </r>
      </text>
    </comment>
    <comment ref="D43" authorId="0" shapeId="0" xr:uid="{CB46982B-82A7-45BE-9AE6-6D9659E5F305}">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43" authorId="0" shapeId="0" xr:uid="{14A16134-355D-41C9-B6E9-5784D4F26A7A}">
      <text>
        <r>
          <rPr>
            <b/>
            <sz val="9"/>
            <color indexed="81"/>
            <rFont val="Tahoma"/>
            <family val="2"/>
          </rPr>
          <t>Note:</t>
        </r>
        <r>
          <rPr>
            <sz val="9"/>
            <color indexed="81"/>
            <rFont val="Tahoma"/>
            <family val="2"/>
          </rPr>
          <t xml:space="preserve">
Please choose the competition level of the member.</t>
        </r>
      </text>
    </comment>
    <comment ref="C44" authorId="0" shapeId="0" xr:uid="{ACD69245-1F4A-4B4A-BA1B-EAEE66B8CD53}">
      <text>
        <r>
          <rPr>
            <b/>
            <sz val="9"/>
            <color indexed="81"/>
            <rFont val="Tahoma"/>
            <family val="2"/>
          </rPr>
          <t>Note:</t>
        </r>
        <r>
          <rPr>
            <sz val="9"/>
            <color indexed="81"/>
            <rFont val="Tahoma"/>
            <family val="2"/>
          </rPr>
          <t xml:space="preserve">
Please choose if the member is a captain</t>
        </r>
      </text>
    </comment>
    <comment ref="D51" authorId="0" shapeId="0" xr:uid="{622A49BD-2DE7-4627-8078-06E10C6919BD}">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51" authorId="0" shapeId="0" xr:uid="{3A7E0859-1C15-486A-B5EA-6676F4FCEC9E}">
      <text>
        <r>
          <rPr>
            <b/>
            <sz val="9"/>
            <color indexed="81"/>
            <rFont val="Tahoma"/>
            <family val="2"/>
          </rPr>
          <t>Note:</t>
        </r>
        <r>
          <rPr>
            <sz val="9"/>
            <color indexed="81"/>
            <rFont val="Tahoma"/>
            <family val="2"/>
          </rPr>
          <t xml:space="preserve">
Please choose the competition level of the member.</t>
        </r>
      </text>
    </comment>
    <comment ref="C52" authorId="0" shapeId="0" xr:uid="{D9E7C59C-217D-4EF6-BD0F-1700033EB7AE}">
      <text>
        <r>
          <rPr>
            <b/>
            <sz val="9"/>
            <color indexed="81"/>
            <rFont val="Tahoma"/>
            <family val="2"/>
          </rPr>
          <t>Note:</t>
        </r>
        <r>
          <rPr>
            <sz val="9"/>
            <color indexed="81"/>
            <rFont val="Tahoma"/>
            <family val="2"/>
          </rPr>
          <t xml:space="preserve">
Please choose if the member is a captain</t>
        </r>
      </text>
    </comment>
    <comment ref="D59" authorId="0" shapeId="0" xr:uid="{0954817B-911F-43DB-A580-EDC31646CEF3}">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59" authorId="0" shapeId="0" xr:uid="{61A92797-0713-4B24-86F0-61F583BDABE0}">
      <text>
        <r>
          <rPr>
            <b/>
            <sz val="9"/>
            <color indexed="81"/>
            <rFont val="Tahoma"/>
            <family val="2"/>
          </rPr>
          <t>Note:</t>
        </r>
        <r>
          <rPr>
            <sz val="9"/>
            <color indexed="81"/>
            <rFont val="Tahoma"/>
            <family val="2"/>
          </rPr>
          <t xml:space="preserve">
Please choose the competition level of the member.</t>
        </r>
      </text>
    </comment>
    <comment ref="C60" authorId="0" shapeId="0" xr:uid="{22C91579-5F7D-44A1-8E9C-2D0A598FC83F}">
      <text>
        <r>
          <rPr>
            <b/>
            <sz val="9"/>
            <color indexed="81"/>
            <rFont val="Tahoma"/>
            <family val="2"/>
          </rPr>
          <t>Note:</t>
        </r>
        <r>
          <rPr>
            <sz val="9"/>
            <color indexed="81"/>
            <rFont val="Tahoma"/>
            <family val="2"/>
          </rPr>
          <t xml:space="preserve">
Please choose if the member is a captain</t>
        </r>
      </text>
    </comment>
    <comment ref="D67" authorId="0" shapeId="0" xr:uid="{68050AD0-0629-48F8-81B2-77416029846A}">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67" authorId="0" shapeId="0" xr:uid="{232E28EF-C108-45E4-BA7A-E80E288981BB}">
      <text>
        <r>
          <rPr>
            <b/>
            <sz val="9"/>
            <color indexed="81"/>
            <rFont val="Tahoma"/>
            <family val="2"/>
          </rPr>
          <t>Note:</t>
        </r>
        <r>
          <rPr>
            <sz val="9"/>
            <color indexed="81"/>
            <rFont val="Tahoma"/>
            <family val="2"/>
          </rPr>
          <t xml:space="preserve">
Please choose the competition level of the member.</t>
        </r>
      </text>
    </comment>
    <comment ref="C68" authorId="0" shapeId="0" xr:uid="{A87DFE4B-011D-48DB-ACAC-FA76BBAB7EA2}">
      <text>
        <r>
          <rPr>
            <b/>
            <sz val="9"/>
            <color indexed="81"/>
            <rFont val="Tahoma"/>
            <family val="2"/>
          </rPr>
          <t>Note:</t>
        </r>
        <r>
          <rPr>
            <sz val="9"/>
            <color indexed="81"/>
            <rFont val="Tahoma"/>
            <family val="2"/>
          </rPr>
          <t xml:space="preserve">
Please choose if the member is a captain</t>
        </r>
      </text>
    </comment>
    <comment ref="D75" authorId="0" shapeId="0" xr:uid="{C01FD94C-C5F5-4BD6-A7BF-C0BD5B088872}">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75" authorId="0" shapeId="0" xr:uid="{008A3F55-BD7C-4143-9BCD-E85DCE4C1074}">
      <text>
        <r>
          <rPr>
            <b/>
            <sz val="9"/>
            <color indexed="81"/>
            <rFont val="Tahoma"/>
            <family val="2"/>
          </rPr>
          <t>Note:</t>
        </r>
        <r>
          <rPr>
            <sz val="9"/>
            <color indexed="81"/>
            <rFont val="Tahoma"/>
            <family val="2"/>
          </rPr>
          <t xml:space="preserve">
Please choose the competition level of the member.</t>
        </r>
      </text>
    </comment>
    <comment ref="C76" authorId="0" shapeId="0" xr:uid="{62C535B7-991A-4575-B97A-3D2F4BAC0BE6}">
      <text>
        <r>
          <rPr>
            <b/>
            <sz val="9"/>
            <color indexed="81"/>
            <rFont val="Tahoma"/>
            <family val="2"/>
          </rPr>
          <t>Note:</t>
        </r>
        <r>
          <rPr>
            <sz val="9"/>
            <color indexed="81"/>
            <rFont val="Tahoma"/>
            <family val="2"/>
          </rPr>
          <t xml:space="preserve">
Please choose if the member is a captain</t>
        </r>
      </text>
    </comment>
    <comment ref="D83" authorId="0" shapeId="0" xr:uid="{CF32C1DA-CC0C-463A-99A1-EB1D428AF1A5}">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83" authorId="0" shapeId="0" xr:uid="{645496E4-ADF0-4CCB-BC28-E9B1B81308C6}">
      <text>
        <r>
          <rPr>
            <b/>
            <sz val="9"/>
            <color indexed="81"/>
            <rFont val="Tahoma"/>
            <family val="2"/>
          </rPr>
          <t>Note:</t>
        </r>
        <r>
          <rPr>
            <sz val="9"/>
            <color indexed="81"/>
            <rFont val="Tahoma"/>
            <family val="2"/>
          </rPr>
          <t xml:space="preserve">
Please choose the competition level of the member.</t>
        </r>
      </text>
    </comment>
    <comment ref="C84" authorId="0" shapeId="0" xr:uid="{6C781526-DA88-4B2E-B217-090A2612AD32}">
      <text>
        <r>
          <rPr>
            <b/>
            <sz val="9"/>
            <color indexed="81"/>
            <rFont val="Tahoma"/>
            <family val="2"/>
          </rPr>
          <t>Note:</t>
        </r>
        <r>
          <rPr>
            <sz val="9"/>
            <color indexed="81"/>
            <rFont val="Tahoma"/>
            <family val="2"/>
          </rPr>
          <t xml:space="preserve">
Please choose if the member is a captain</t>
        </r>
      </text>
    </comment>
    <comment ref="D91" authorId="0" shapeId="0" xr:uid="{09D51808-4C48-4015-827B-DFA8359E1DAD}">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91" authorId="0" shapeId="0" xr:uid="{EC8C29CA-D814-4848-B75A-42EA5AD5C059}">
      <text>
        <r>
          <rPr>
            <b/>
            <sz val="9"/>
            <color indexed="81"/>
            <rFont val="Tahoma"/>
            <family val="2"/>
          </rPr>
          <t>Note:</t>
        </r>
        <r>
          <rPr>
            <sz val="9"/>
            <color indexed="81"/>
            <rFont val="Tahoma"/>
            <family val="2"/>
          </rPr>
          <t xml:space="preserve">
Please choose the competition level of the member.</t>
        </r>
      </text>
    </comment>
    <comment ref="C92" authorId="0" shapeId="0" xr:uid="{A1BF814B-E58E-4C9F-9DC8-EBF78D5AB40C}">
      <text>
        <r>
          <rPr>
            <b/>
            <sz val="9"/>
            <color indexed="81"/>
            <rFont val="Tahoma"/>
            <family val="2"/>
          </rPr>
          <t>Note:</t>
        </r>
        <r>
          <rPr>
            <sz val="9"/>
            <color indexed="81"/>
            <rFont val="Tahoma"/>
            <family val="2"/>
          </rPr>
          <t xml:space="preserve">
Please choose if the member is a captain</t>
        </r>
      </text>
    </comment>
    <comment ref="D99" authorId="0" shapeId="0" xr:uid="{85399922-6C14-4DB9-B79C-685E617BC30E}">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99" authorId="0" shapeId="0" xr:uid="{56E9A3CE-D7F3-4126-B32E-763178DA248B}">
      <text>
        <r>
          <rPr>
            <b/>
            <sz val="9"/>
            <color indexed="81"/>
            <rFont val="Tahoma"/>
            <family val="2"/>
          </rPr>
          <t>Note:</t>
        </r>
        <r>
          <rPr>
            <sz val="9"/>
            <color indexed="81"/>
            <rFont val="Tahoma"/>
            <family val="2"/>
          </rPr>
          <t xml:space="preserve">
Please choose the competition level of the member.</t>
        </r>
      </text>
    </comment>
    <comment ref="C100" authorId="0" shapeId="0" xr:uid="{1C8AF78D-9FF2-4699-91DB-41E96B9CF3CC}">
      <text>
        <r>
          <rPr>
            <b/>
            <sz val="9"/>
            <color indexed="81"/>
            <rFont val="Tahoma"/>
            <family val="2"/>
          </rPr>
          <t>Note:</t>
        </r>
        <r>
          <rPr>
            <sz val="9"/>
            <color indexed="81"/>
            <rFont val="Tahoma"/>
            <family val="2"/>
          </rPr>
          <t xml:space="preserve">
Please choose if the member is a captain</t>
        </r>
      </text>
    </comment>
    <comment ref="D107" authorId="0" shapeId="0" xr:uid="{E65250D9-33DB-44CA-AB3F-9F1DFFDB78B2}">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07" authorId="0" shapeId="0" xr:uid="{CEAF31FF-0528-4894-8F0B-C3233E4E5A5A}">
      <text>
        <r>
          <rPr>
            <b/>
            <sz val="9"/>
            <color indexed="81"/>
            <rFont val="Tahoma"/>
            <family val="2"/>
          </rPr>
          <t>Note:</t>
        </r>
        <r>
          <rPr>
            <sz val="9"/>
            <color indexed="81"/>
            <rFont val="Tahoma"/>
            <family val="2"/>
          </rPr>
          <t xml:space="preserve">
Please choose the competition level of the member.</t>
        </r>
      </text>
    </comment>
    <comment ref="C108" authorId="0" shapeId="0" xr:uid="{8ABA5597-446E-4C3A-A8CD-C27F89F582BF}">
      <text>
        <r>
          <rPr>
            <b/>
            <sz val="9"/>
            <color indexed="81"/>
            <rFont val="Tahoma"/>
            <family val="2"/>
          </rPr>
          <t>Note:</t>
        </r>
        <r>
          <rPr>
            <sz val="9"/>
            <color indexed="81"/>
            <rFont val="Tahoma"/>
            <family val="2"/>
          </rPr>
          <t xml:space="preserve">
Please choose if the member is a captain</t>
        </r>
      </text>
    </comment>
    <comment ref="D115" authorId="0" shapeId="0" xr:uid="{9CDA8AB8-1597-48BC-9BE8-A80337E6F075}">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15" authorId="0" shapeId="0" xr:uid="{5B75BA3F-AF57-4DE0-85BD-40559718F832}">
      <text>
        <r>
          <rPr>
            <b/>
            <sz val="9"/>
            <color indexed="81"/>
            <rFont val="Tahoma"/>
            <family val="2"/>
          </rPr>
          <t>Note:</t>
        </r>
        <r>
          <rPr>
            <sz val="9"/>
            <color indexed="81"/>
            <rFont val="Tahoma"/>
            <family val="2"/>
          </rPr>
          <t xml:space="preserve">
Please choose the competition level of the member.</t>
        </r>
      </text>
    </comment>
    <comment ref="C116" authorId="0" shapeId="0" xr:uid="{B6286F2E-A42B-4E8A-A35F-BA385AB1D8B9}">
      <text>
        <r>
          <rPr>
            <b/>
            <sz val="9"/>
            <color indexed="81"/>
            <rFont val="Tahoma"/>
            <family val="2"/>
          </rPr>
          <t>Note:</t>
        </r>
        <r>
          <rPr>
            <sz val="9"/>
            <color indexed="81"/>
            <rFont val="Tahoma"/>
            <family val="2"/>
          </rPr>
          <t xml:space="preserve">
Please choose if the member is a captain</t>
        </r>
      </text>
    </comment>
    <comment ref="D123" authorId="0" shapeId="0" xr:uid="{58223E50-40FA-4D50-9F4A-00B4B8077D13}">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23" authorId="0" shapeId="0" xr:uid="{E61B72D7-72C5-46A9-AB7A-E04619C75C69}">
      <text>
        <r>
          <rPr>
            <b/>
            <sz val="9"/>
            <color indexed="81"/>
            <rFont val="Tahoma"/>
            <family val="2"/>
          </rPr>
          <t>Note:</t>
        </r>
        <r>
          <rPr>
            <sz val="9"/>
            <color indexed="81"/>
            <rFont val="Tahoma"/>
            <family val="2"/>
          </rPr>
          <t xml:space="preserve">
Please choose the competition level of the member.</t>
        </r>
      </text>
    </comment>
    <comment ref="C124" authorId="0" shapeId="0" xr:uid="{F0EA1C6C-B08C-4143-A66E-5D2A483F7342}">
      <text>
        <r>
          <rPr>
            <b/>
            <sz val="9"/>
            <color indexed="81"/>
            <rFont val="Tahoma"/>
            <family val="2"/>
          </rPr>
          <t>Note:</t>
        </r>
        <r>
          <rPr>
            <sz val="9"/>
            <color indexed="81"/>
            <rFont val="Tahoma"/>
            <family val="2"/>
          </rPr>
          <t xml:space="preserve">
Please choose if the member is a captain</t>
        </r>
      </text>
    </comment>
    <comment ref="D131" authorId="0" shapeId="0" xr:uid="{9AE85C94-6E0C-430A-9642-F91F8BA38453}">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31" authorId="0" shapeId="0" xr:uid="{E2E411C2-EDDC-4B02-84C1-BCF297BEA7F7}">
      <text>
        <r>
          <rPr>
            <b/>
            <sz val="9"/>
            <color indexed="81"/>
            <rFont val="Tahoma"/>
            <family val="2"/>
          </rPr>
          <t>Note:</t>
        </r>
        <r>
          <rPr>
            <sz val="9"/>
            <color indexed="81"/>
            <rFont val="Tahoma"/>
            <family val="2"/>
          </rPr>
          <t xml:space="preserve">
Please choose the competition level of the member.</t>
        </r>
      </text>
    </comment>
    <comment ref="C132" authorId="0" shapeId="0" xr:uid="{78B3BFB4-5518-418D-AD3F-E30C4A70CAA0}">
      <text>
        <r>
          <rPr>
            <b/>
            <sz val="9"/>
            <color indexed="81"/>
            <rFont val="Tahoma"/>
            <family val="2"/>
          </rPr>
          <t>Note:</t>
        </r>
        <r>
          <rPr>
            <sz val="9"/>
            <color indexed="81"/>
            <rFont val="Tahoma"/>
            <family val="2"/>
          </rPr>
          <t xml:space="preserve">
Please choose if the member is a captain</t>
        </r>
      </text>
    </comment>
    <comment ref="D139" authorId="0" shapeId="0" xr:uid="{BDB6E499-B0A7-413A-9EA0-D40AB464E7FE}">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39" authorId="0" shapeId="0" xr:uid="{DD703CF8-E23F-4955-98D8-2027FA8169C6}">
      <text>
        <r>
          <rPr>
            <b/>
            <sz val="9"/>
            <color indexed="81"/>
            <rFont val="Tahoma"/>
            <family val="2"/>
          </rPr>
          <t>Note:</t>
        </r>
        <r>
          <rPr>
            <sz val="9"/>
            <color indexed="81"/>
            <rFont val="Tahoma"/>
            <family val="2"/>
          </rPr>
          <t xml:space="preserve">
Please choose the competition level of the member.</t>
        </r>
      </text>
    </comment>
    <comment ref="C140" authorId="0" shapeId="0" xr:uid="{50D0BBB0-DAF7-4526-AF58-E197A30F111B}">
      <text>
        <r>
          <rPr>
            <b/>
            <sz val="9"/>
            <color indexed="81"/>
            <rFont val="Tahoma"/>
            <family val="2"/>
          </rPr>
          <t>Note:</t>
        </r>
        <r>
          <rPr>
            <sz val="9"/>
            <color indexed="81"/>
            <rFont val="Tahoma"/>
            <family val="2"/>
          </rPr>
          <t xml:space="preserve">
Please choose if the member is a captain</t>
        </r>
      </text>
    </comment>
    <comment ref="D147" authorId="0" shapeId="0" xr:uid="{B88172E9-3E8D-4C81-91D6-F3FC4722F348}">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47" authorId="0" shapeId="0" xr:uid="{526A1FCD-7759-4B11-82C0-9C513B1F527C}">
      <text>
        <r>
          <rPr>
            <b/>
            <sz val="9"/>
            <color indexed="81"/>
            <rFont val="Tahoma"/>
            <family val="2"/>
          </rPr>
          <t>Note:</t>
        </r>
        <r>
          <rPr>
            <sz val="9"/>
            <color indexed="81"/>
            <rFont val="Tahoma"/>
            <family val="2"/>
          </rPr>
          <t xml:space="preserve">
Please choose the competition level of the member.</t>
        </r>
      </text>
    </comment>
    <comment ref="C148" authorId="0" shapeId="0" xr:uid="{B549FC1A-1756-43E8-B942-9051EFD40A8E}">
      <text>
        <r>
          <rPr>
            <b/>
            <sz val="9"/>
            <color indexed="81"/>
            <rFont val="Tahoma"/>
            <family val="2"/>
          </rPr>
          <t>Note:</t>
        </r>
        <r>
          <rPr>
            <sz val="9"/>
            <color indexed="81"/>
            <rFont val="Tahoma"/>
            <family val="2"/>
          </rPr>
          <t xml:space="preserve">
Please choose if the member is a captain</t>
        </r>
      </text>
    </comment>
    <comment ref="D155" authorId="0" shapeId="0" xr:uid="{CA7D18C4-0210-42F2-8724-A87BC98ED1EE}">
      <text>
        <r>
          <rPr>
            <b/>
            <sz val="9"/>
            <color indexed="81"/>
            <rFont val="Tahoma"/>
            <family val="2"/>
          </rPr>
          <t xml:space="preserve">Please note:
</t>
        </r>
        <r>
          <rPr>
            <sz val="9"/>
            <color indexed="81"/>
            <rFont val="Tahoma"/>
            <family val="2"/>
          </rPr>
          <t>If a member wishes to become eligible for Championships, they need to participate at the age of January 1 on the year of the competition. EX: Fall rallies, members may need to compete up to become eligible.</t>
        </r>
      </text>
    </comment>
    <comment ref="H155" authorId="0" shapeId="0" xr:uid="{2859C14E-2C34-49FF-8D74-1C1519C93A0D}">
      <text>
        <r>
          <rPr>
            <b/>
            <sz val="9"/>
            <color indexed="81"/>
            <rFont val="Tahoma"/>
            <family val="2"/>
          </rPr>
          <t>Note:</t>
        </r>
        <r>
          <rPr>
            <sz val="9"/>
            <color indexed="81"/>
            <rFont val="Tahoma"/>
            <family val="2"/>
          </rPr>
          <t xml:space="preserve">
Please choose the competition level of the member.</t>
        </r>
      </text>
    </comment>
    <comment ref="C156" authorId="0" shapeId="0" xr:uid="{3CED891F-7573-42A7-9C07-DB464059CF06}">
      <text>
        <r>
          <rPr>
            <b/>
            <sz val="9"/>
            <color indexed="81"/>
            <rFont val="Tahoma"/>
            <family val="2"/>
          </rPr>
          <t>Note:</t>
        </r>
        <r>
          <rPr>
            <sz val="9"/>
            <color indexed="81"/>
            <rFont val="Tahoma"/>
            <family val="2"/>
          </rPr>
          <t xml:space="preserve">
Please choose if the member is a captain</t>
        </r>
      </text>
    </comment>
  </commentList>
</comments>
</file>

<file path=xl/sharedStrings.xml><?xml version="1.0" encoding="utf-8"?>
<sst xmlns="http://schemas.openxmlformats.org/spreadsheetml/2006/main" count="694" uniqueCount="144">
  <si>
    <t>Competition Levels</t>
  </si>
  <si>
    <t>8 &amp; Under</t>
  </si>
  <si>
    <t>10 &amp; Under</t>
  </si>
  <si>
    <t>Pre-Novice Female</t>
  </si>
  <si>
    <t>Pre-Novice Male</t>
  </si>
  <si>
    <t>Novice Female</t>
  </si>
  <si>
    <t>Novice Male</t>
  </si>
  <si>
    <t>Intermediate Female</t>
  </si>
  <si>
    <t>Intermediate Male</t>
  </si>
  <si>
    <t>Junior Female</t>
  </si>
  <si>
    <t>Junior Male</t>
  </si>
  <si>
    <t>Senior Female</t>
  </si>
  <si>
    <t>Senior Male</t>
  </si>
  <si>
    <t>Teams</t>
  </si>
  <si>
    <t>Captain</t>
  </si>
  <si>
    <t>hm Certification Options</t>
  </si>
  <si>
    <t>Mounted Cert</t>
  </si>
  <si>
    <t xml:space="preserve">Competing Down? </t>
  </si>
  <si>
    <t>T-1</t>
  </si>
  <si>
    <t>C</t>
  </si>
  <si>
    <t>UR</t>
  </si>
  <si>
    <t>Yes</t>
  </si>
  <si>
    <t>T-2</t>
  </si>
  <si>
    <t>D1</t>
  </si>
  <si>
    <t>No</t>
  </si>
  <si>
    <t>T-3</t>
  </si>
  <si>
    <t>D2</t>
  </si>
  <si>
    <t>T-4</t>
  </si>
  <si>
    <t>D3</t>
  </si>
  <si>
    <t>T-5</t>
  </si>
  <si>
    <t>C1</t>
  </si>
  <si>
    <t>T-6</t>
  </si>
  <si>
    <t>C2</t>
  </si>
  <si>
    <t>T-7</t>
  </si>
  <si>
    <t>HB</t>
  </si>
  <si>
    <t>C+</t>
  </si>
  <si>
    <t>T-8</t>
  </si>
  <si>
    <t>H/HA</t>
  </si>
  <si>
    <t>C3</t>
  </si>
  <si>
    <t>T-9</t>
  </si>
  <si>
    <t>B</t>
  </si>
  <si>
    <t>T-10</t>
  </si>
  <si>
    <t>A</t>
  </si>
  <si>
    <t>T-11</t>
  </si>
  <si>
    <t>T-12</t>
  </si>
  <si>
    <t>T-13</t>
  </si>
  <si>
    <t>T-14</t>
  </si>
  <si>
    <t>T-15</t>
  </si>
  <si>
    <t>T-16</t>
  </si>
  <si>
    <t>T-17</t>
  </si>
  <si>
    <t>T-18</t>
  </si>
  <si>
    <t>T-19</t>
  </si>
  <si>
    <t>T-20</t>
  </si>
  <si>
    <t>Team  Name:</t>
  </si>
  <si>
    <t>Horse Management</t>
  </si>
  <si>
    <t>#</t>
  </si>
  <si>
    <t>Competitor (C=Captain)</t>
  </si>
  <si>
    <t>PC Age</t>
  </si>
  <si>
    <t>Mount</t>
  </si>
  <si>
    <t>Riding Cert.</t>
  </si>
  <si>
    <t>HM Cert.</t>
  </si>
  <si>
    <t>Competition Level</t>
  </si>
  <si>
    <t>Notes</t>
  </si>
  <si>
    <t>Set Up &amp; Safety</t>
  </si>
  <si>
    <t>Turnout</t>
  </si>
  <si>
    <t>Req. Equipment</t>
  </si>
  <si>
    <t>Daily 1</t>
  </si>
  <si>
    <t>Daily 2</t>
  </si>
  <si>
    <t>Daily 3</t>
  </si>
  <si>
    <t>Total</t>
  </si>
  <si>
    <t>Ind. HM Score</t>
  </si>
  <si>
    <t>HM W/ Stable Manager</t>
  </si>
  <si>
    <t>Team HM Score</t>
  </si>
  <si>
    <t>Record HM Scores to the right. Leave blank if no rider.</t>
  </si>
  <si>
    <t>STABLE MANAGER</t>
  </si>
  <si>
    <t xml:space="preserve">Competing </t>
  </si>
  <si>
    <t>Competing Down To?</t>
  </si>
  <si>
    <t>Round 1</t>
  </si>
  <si>
    <t>Round 2</t>
  </si>
  <si>
    <t>Totals</t>
  </si>
  <si>
    <t xml:space="preserve">Team </t>
  </si>
  <si>
    <t>Name</t>
  </si>
  <si>
    <t>Down?</t>
  </si>
  <si>
    <t>Time</t>
  </si>
  <si>
    <t>Time Penalty</t>
  </si>
  <si>
    <t>Slip Rail</t>
  </si>
  <si>
    <t>Gate</t>
  </si>
  <si>
    <t>Jump</t>
  </si>
  <si>
    <t xml:space="preserve">Slip Rail </t>
  </si>
  <si>
    <t>Compete Down Penalties</t>
  </si>
  <si>
    <t>Total Score</t>
  </si>
  <si>
    <t>Team Score</t>
  </si>
  <si>
    <t>RUN</t>
  </si>
  <si>
    <t xml:space="preserve">Running Down? </t>
  </si>
  <si>
    <t xml:space="preserve">Run Level? </t>
  </si>
  <si>
    <t>Seconds Over</t>
  </si>
  <si>
    <t>Score</t>
  </si>
  <si>
    <t>Final Score</t>
  </si>
  <si>
    <t>Shooting</t>
  </si>
  <si>
    <t xml:space="preserve">Shooting Down? </t>
  </si>
  <si>
    <t xml:space="preserve">Shoot Level? </t>
  </si>
  <si>
    <t>Penalties</t>
  </si>
  <si>
    <t>Team Total</t>
  </si>
  <si>
    <t>Swimming</t>
  </si>
  <si>
    <t xml:space="preserve">Swimming Down? </t>
  </si>
  <si>
    <t xml:space="preserve">Swim Level? </t>
  </si>
  <si>
    <t>Competing Down Penalties</t>
  </si>
  <si>
    <t>m&amp;f</t>
  </si>
  <si>
    <t>M&amp;F</t>
  </si>
  <si>
    <t>M$F</t>
  </si>
  <si>
    <t>F</t>
  </si>
  <si>
    <t>M</t>
  </si>
  <si>
    <t>Individual Phase Scores</t>
  </si>
  <si>
    <t>Indidual Other</t>
  </si>
  <si>
    <t>Total Phase</t>
  </si>
  <si>
    <t>HM</t>
  </si>
  <si>
    <t>Total Individual Score</t>
  </si>
  <si>
    <t>Team Other</t>
  </si>
  <si>
    <t>Total Team</t>
  </si>
  <si>
    <t>8 &amp; U</t>
  </si>
  <si>
    <t>8 &amp; U Score</t>
  </si>
  <si>
    <t>10 &amp; U</t>
  </si>
  <si>
    <t>10 &amp;  Score</t>
  </si>
  <si>
    <t>Pre-Novice</t>
  </si>
  <si>
    <t>Novice</t>
  </si>
  <si>
    <t>Intermediate</t>
  </si>
  <si>
    <t>Junior</t>
  </si>
  <si>
    <t>Senior</t>
  </si>
  <si>
    <t>Division</t>
  </si>
  <si>
    <t>Riding</t>
  </si>
  <si>
    <t>Running</t>
  </si>
  <si>
    <t>Total Phase score</t>
  </si>
  <si>
    <t>Scoring</t>
  </si>
  <si>
    <t>Individual</t>
  </si>
  <si>
    <t>HM Total</t>
  </si>
  <si>
    <t>HM Ind. Score</t>
  </si>
  <si>
    <t>Team HM</t>
  </si>
  <si>
    <t xml:space="preserve"># </t>
  </si>
  <si>
    <t>Placing</t>
  </si>
  <si>
    <t>Team</t>
  </si>
  <si>
    <t>HM Score</t>
  </si>
  <si>
    <t>HM Placing</t>
  </si>
  <si>
    <t>Overall Score</t>
  </si>
  <si>
    <t>Overall Placing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</si>
</sst>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ss;@"/>
    <numFmt numFmtId="166" formatCode="h:mm;@"/>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22"/>
      <color rgb="FF90A222"/>
      <name val="Calibri"/>
      <family val="2"/>
      <scheme val="minor"/>
    </font>
    <font>
      <sz val="11"/>
      <name val="Calibri"/>
      <family val="2"/>
      <scheme val="minor"/>
    </font>
    <font>
      <b/>
      <sz val="12"/>
      <color theme="0"/>
      <name val="Calibri"/>
      <family val="2"/>
      <scheme val="minor"/>
    </font>
    <font>
      <b/>
      <sz val="9"/>
      <color indexed="81"/>
      <name val="Tahoma"/>
      <family val="2"/>
    </font>
    <font>
      <sz val="9"/>
      <color indexed="81"/>
      <name val="Tahoma"/>
      <family val="2"/>
    </font>
    <font>
      <sz val="9"/>
      <color theme="1"/>
      <name val="Calibri"/>
      <family val="2"/>
      <scheme val="minor"/>
    </font>
    <font>
      <b/>
      <sz val="14"/>
      <color theme="0"/>
      <name val="Calibri"/>
      <family val="2"/>
      <scheme val="minor"/>
    </font>
    <font>
      <b/>
      <sz val="10"/>
      <color theme="1"/>
      <name val="Calibri"/>
      <family val="2"/>
      <scheme val="minor"/>
    </font>
    <font>
      <sz val="10"/>
      <color theme="1"/>
      <name val="Calibri"/>
      <family val="2"/>
      <scheme val="minor"/>
    </font>
    <font>
      <sz val="12"/>
      <color theme="0"/>
      <name val="Calibri"/>
      <family val="2"/>
      <scheme val="minor"/>
    </font>
    <font>
      <b/>
      <sz val="22"/>
      <color rgb="FF91D841"/>
      <name val="Calibri"/>
      <family val="2"/>
      <scheme val="minor"/>
    </font>
    <font>
      <b/>
      <sz val="1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rgb="FFECF3C5"/>
      </patternFill>
    </fill>
    <fill>
      <patternFill patternType="solid">
        <fgColor rgb="FFECF3C5"/>
        <bgColor indexed="64"/>
      </patternFill>
    </fill>
    <fill>
      <patternFill patternType="solid">
        <fgColor theme="4" tint="0.79998168889431442"/>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rgb="FF91D841"/>
        <bgColor indexed="64"/>
      </patternFill>
    </fill>
    <fill>
      <patternFill patternType="gray125">
        <fgColor rgb="FFCDEDA9"/>
        <bgColor theme="0"/>
      </patternFill>
    </fill>
    <fill>
      <patternFill patternType="solid">
        <fgColor rgb="FFCDEDA9"/>
        <bgColor indexed="64"/>
      </patternFill>
    </fill>
    <fill>
      <patternFill patternType="solid">
        <fgColor rgb="FFEBF8D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134">
    <xf numFmtId="0" fontId="0" fillId="0" borderId="0" xfId="0"/>
    <xf numFmtId="0" fontId="0" fillId="3" borderId="0" xfId="0" applyFill="1"/>
    <xf numFmtId="0" fontId="0" fillId="3" borderId="0" xfId="0" applyFill="1" applyAlignment="1">
      <alignment horizontal="center"/>
    </xf>
    <xf numFmtId="0" fontId="4" fillId="3" borderId="0" xfId="0" applyFont="1" applyFill="1" applyProtection="1">
      <protection locked="0"/>
    </xf>
    <xf numFmtId="0" fontId="3" fillId="4" borderId="2" xfId="0" applyFont="1" applyFill="1" applyBorder="1" applyAlignment="1" applyProtection="1">
      <alignment vertical="center"/>
      <protection locked="0"/>
    </xf>
    <xf numFmtId="0" fontId="3" fillId="4" borderId="0" xfId="0" applyFont="1" applyFill="1" applyAlignment="1" applyProtection="1">
      <alignment vertical="center"/>
      <protection locked="0"/>
    </xf>
    <xf numFmtId="0" fontId="0" fillId="3" borderId="0" xfId="0" applyFill="1" applyProtection="1">
      <protection locked="0"/>
    </xf>
    <xf numFmtId="0" fontId="0" fillId="3" borderId="1" xfId="0" applyFill="1" applyBorder="1" applyAlignment="1" applyProtection="1">
      <alignment horizontal="center" vertical="center"/>
      <protection locked="0"/>
    </xf>
    <xf numFmtId="0" fontId="0" fillId="3" borderId="0" xfId="0" applyFill="1" applyAlignment="1" applyProtection="1">
      <alignment wrapText="1"/>
      <protection locked="0"/>
    </xf>
    <xf numFmtId="0" fontId="0" fillId="5" borderId="1" xfId="0" applyFill="1" applyBorder="1" applyAlignment="1">
      <alignment horizontal="center" vertical="center"/>
    </xf>
    <xf numFmtId="0" fontId="2" fillId="3" borderId="6" xfId="0"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0" xfId="0" applyFill="1" applyAlignment="1" applyProtection="1">
      <alignment horizontal="center"/>
      <protection locked="0"/>
    </xf>
    <xf numFmtId="49" fontId="0" fillId="3" borderId="1" xfId="0" applyNumberFormat="1" applyFill="1" applyBorder="1" applyAlignment="1" applyProtection="1">
      <alignment horizontal="center" vertical="center"/>
      <protection locked="0"/>
    </xf>
    <xf numFmtId="49" fontId="0" fillId="3" borderId="0" xfId="0" applyNumberFormat="1" applyFill="1" applyAlignment="1" applyProtection="1">
      <alignment horizontal="center" vertical="center"/>
      <protection locked="0"/>
    </xf>
    <xf numFmtId="0" fontId="0" fillId="3" borderId="1" xfId="0" applyFill="1" applyBorder="1" applyAlignment="1" applyProtection="1">
      <alignment horizontal="center"/>
      <protection locked="0"/>
    </xf>
    <xf numFmtId="0" fontId="0" fillId="3" borderId="1" xfId="0" applyFill="1" applyBorder="1" applyAlignment="1">
      <alignment horizontal="center"/>
    </xf>
    <xf numFmtId="0" fontId="10" fillId="6" borderId="1" xfId="0" applyFont="1" applyFill="1" applyBorder="1"/>
    <xf numFmtId="0" fontId="10" fillId="7" borderId="1" xfId="0" applyFont="1" applyFill="1" applyBorder="1"/>
    <xf numFmtId="0" fontId="10" fillId="3" borderId="1" xfId="0" applyFont="1" applyFill="1" applyBorder="1"/>
    <xf numFmtId="0" fontId="10" fillId="7" borderId="3" xfId="0" applyFont="1" applyFill="1" applyBorder="1"/>
    <xf numFmtId="0" fontId="10" fillId="3" borderId="0" xfId="0" applyFont="1" applyFill="1"/>
    <xf numFmtId="0" fontId="2" fillId="3" borderId="6" xfId="0" applyFont="1" applyFill="1" applyBorder="1" applyAlignment="1">
      <alignment vertical="center"/>
    </xf>
    <xf numFmtId="0" fontId="1" fillId="2" borderId="6" xfId="0" applyFont="1" applyFill="1" applyBorder="1" applyAlignment="1">
      <alignment horizontal="center" vertical="center"/>
    </xf>
    <xf numFmtId="0" fontId="10" fillId="6" borderId="3" xfId="0" applyFont="1" applyFill="1" applyBorder="1"/>
    <xf numFmtId="0" fontId="0" fillId="3" borderId="8" xfId="0" applyFill="1" applyBorder="1" applyAlignment="1">
      <alignment horizontal="center" vertical="center"/>
    </xf>
    <xf numFmtId="0" fontId="1" fillId="2" borderId="8" xfId="0" applyFont="1" applyFill="1" applyBorder="1" applyAlignment="1">
      <alignment horizontal="center" vertical="center"/>
    </xf>
    <xf numFmtId="0" fontId="11" fillId="6" borderId="1" xfId="0" applyFont="1" applyFill="1" applyBorder="1"/>
    <xf numFmtId="0" fontId="11" fillId="3" borderId="1" xfId="0" applyFont="1" applyFill="1" applyBorder="1"/>
    <xf numFmtId="0" fontId="11" fillId="3" borderId="3" xfId="0" applyFont="1" applyFill="1" applyBorder="1"/>
    <xf numFmtId="0" fontId="11" fillId="3" borderId="0" xfId="0" applyFont="1" applyFill="1"/>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1" xfId="0" applyFill="1" applyBorder="1"/>
    <xf numFmtId="0" fontId="0" fillId="6" borderId="1" xfId="0" applyFill="1" applyBorder="1"/>
    <xf numFmtId="0" fontId="0" fillId="3" borderId="3" xfId="0" applyFill="1" applyBorder="1"/>
    <xf numFmtId="49" fontId="1" fillId="2" borderId="8" xfId="0" applyNumberFormat="1" applyFont="1" applyFill="1" applyBorder="1" applyAlignment="1">
      <alignment horizontal="center" vertical="center"/>
    </xf>
    <xf numFmtId="0" fontId="10" fillId="2" borderId="8" xfId="0" applyFont="1" applyFill="1" applyBorder="1" applyAlignment="1">
      <alignment horizontal="center" vertical="center" wrapText="1"/>
    </xf>
    <xf numFmtId="0" fontId="0" fillId="5" borderId="1" xfId="0" applyFill="1" applyBorder="1" applyAlignment="1">
      <alignment horizont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0" fillId="5" borderId="1" xfId="0" applyFill="1" applyBorder="1"/>
    <xf numFmtId="0" fontId="10" fillId="2" borderId="1" xfId="0" applyFont="1" applyFill="1" applyBorder="1" applyAlignment="1">
      <alignment horizontal="center" wrapText="1"/>
    </xf>
    <xf numFmtId="0" fontId="1" fillId="2" borderId="1" xfId="0" applyFont="1" applyFill="1" applyBorder="1" applyAlignment="1">
      <alignment horizontal="center"/>
    </xf>
    <xf numFmtId="0" fontId="1" fillId="2" borderId="1" xfId="0" applyFont="1" applyFill="1" applyBorder="1" applyAlignment="1">
      <alignment horizontal="right"/>
    </xf>
    <xf numFmtId="0" fontId="1" fillId="2" borderId="8" xfId="0" applyFont="1" applyFill="1" applyBorder="1" applyAlignment="1">
      <alignment horizontal="right"/>
    </xf>
    <xf numFmtId="0" fontId="0" fillId="3" borderId="4" xfId="0" applyFill="1" applyBorder="1" applyProtection="1">
      <protection locked="0"/>
    </xf>
    <xf numFmtId="4" fontId="0" fillId="3" borderId="1" xfId="0" applyNumberFormat="1" applyFill="1" applyBorder="1" applyAlignment="1" applyProtection="1">
      <alignment horizontal="center"/>
      <protection locked="0"/>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8" borderId="1" xfId="0" applyFill="1" applyBorder="1" applyAlignment="1">
      <alignment horizontal="center" vertical="center"/>
    </xf>
    <xf numFmtId="0" fontId="0" fillId="8" borderId="0" xfId="0" applyFill="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0" xfId="0" applyFill="1" applyProtection="1">
      <protection locked="0"/>
    </xf>
    <xf numFmtId="0" fontId="0" fillId="8" borderId="1" xfId="0" applyFill="1" applyBorder="1" applyAlignment="1">
      <alignment horizont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xf>
    <xf numFmtId="0" fontId="0" fillId="9" borderId="1" xfId="0" applyFill="1" applyBorder="1" applyAlignment="1">
      <alignment horizontal="center" vertical="center"/>
    </xf>
    <xf numFmtId="0" fontId="1" fillId="9" borderId="1" xfId="0" applyFont="1" applyFill="1" applyBorder="1"/>
    <xf numFmtId="164" fontId="1" fillId="2" borderId="1" xfId="0" applyNumberFormat="1" applyFont="1" applyFill="1" applyBorder="1" applyAlignment="1">
      <alignment horizontal="center" vertical="center"/>
    </xf>
    <xf numFmtId="164" fontId="0" fillId="3" borderId="0" xfId="0" applyNumberFormat="1" applyFill="1"/>
    <xf numFmtId="164" fontId="1" fillId="2" borderId="1" xfId="0" applyNumberFormat="1" applyFont="1" applyFill="1" applyBorder="1" applyAlignment="1">
      <alignment horizontal="center" vertical="center" wrapText="1"/>
    </xf>
    <xf numFmtId="164" fontId="0" fillId="3" borderId="0" xfId="0" applyNumberFormat="1" applyFill="1" applyProtection="1">
      <protection locked="0"/>
    </xf>
    <xf numFmtId="165" fontId="0" fillId="3" borderId="1" xfId="0" applyNumberFormat="1" applyFill="1" applyBorder="1" applyAlignment="1" applyProtection="1">
      <alignment horizontal="center" vertical="center"/>
      <protection locked="0"/>
    </xf>
    <xf numFmtId="165" fontId="0" fillId="8" borderId="1" xfId="0" applyNumberFormat="1" applyFill="1" applyBorder="1" applyAlignment="1" applyProtection="1">
      <alignment horizontal="center" vertical="center"/>
      <protection locked="0"/>
    </xf>
    <xf numFmtId="166" fontId="0" fillId="3" borderId="1"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0" fontId="0" fillId="3" borderId="3" xfId="0" applyFill="1" applyBorder="1" applyAlignment="1" applyProtection="1">
      <alignment horizontal="center"/>
      <protection locked="0"/>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5" fillId="10" borderId="1" xfId="0" applyFont="1" applyFill="1" applyBorder="1" applyAlignment="1" applyProtection="1">
      <alignment horizontal="center"/>
      <protection locked="0"/>
    </xf>
    <xf numFmtId="0" fontId="0" fillId="12" borderId="1" xfId="0" applyFill="1" applyBorder="1" applyAlignment="1">
      <alignment horizontal="center" vertical="center"/>
    </xf>
    <xf numFmtId="0" fontId="0" fillId="12" borderId="1" xfId="0" applyFill="1" applyBorder="1" applyAlignment="1">
      <alignment horizontal="center"/>
    </xf>
    <xf numFmtId="0" fontId="0" fillId="10" borderId="1" xfId="0" applyFill="1" applyBorder="1" applyAlignment="1">
      <alignment horizontal="center"/>
    </xf>
    <xf numFmtId="0" fontId="0" fillId="10" borderId="0" xfId="0" applyFill="1" applyProtection="1">
      <protection locked="0"/>
    </xf>
    <xf numFmtId="0" fontId="0" fillId="10" borderId="1" xfId="0" applyFill="1" applyBorder="1"/>
    <xf numFmtId="0" fontId="0" fillId="10" borderId="1" xfId="0" applyFill="1" applyBorder="1" applyAlignment="1">
      <alignment horizontal="center" vertical="center"/>
    </xf>
    <xf numFmtId="0" fontId="0" fillId="10" borderId="0" xfId="0" applyFill="1" applyAlignment="1" applyProtection="1">
      <alignment horizontal="center" vertical="center"/>
      <protection locked="0"/>
    </xf>
    <xf numFmtId="0" fontId="4" fillId="3" borderId="0" xfId="0" applyFont="1" applyFill="1" applyAlignment="1">
      <alignment horizontal="center"/>
    </xf>
    <xf numFmtId="0" fontId="4" fillId="3" borderId="0" xfId="0" applyFont="1" applyFill="1"/>
    <xf numFmtId="0" fontId="14" fillId="12" borderId="1" xfId="0" applyFont="1" applyFill="1" applyBorder="1" applyAlignment="1">
      <alignment horizontal="center"/>
    </xf>
    <xf numFmtId="0" fontId="12" fillId="10" borderId="9" xfId="0" applyFont="1" applyFill="1" applyBorder="1" applyProtection="1">
      <protection locked="0"/>
    </xf>
    <xf numFmtId="0" fontId="12" fillId="10" borderId="8" xfId="0" applyFont="1" applyFill="1" applyBorder="1" applyAlignment="1" applyProtection="1">
      <alignment horizontal="center"/>
      <protection locked="0"/>
    </xf>
    <xf numFmtId="0" fontId="12" fillId="10" borderId="10"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164" fontId="0" fillId="10" borderId="6" xfId="0" applyNumberFormat="1" applyFill="1" applyBorder="1" applyAlignment="1">
      <alignment horizontal="center" vertical="center"/>
    </xf>
    <xf numFmtId="164" fontId="0" fillId="10" borderId="7" xfId="0" applyNumberFormat="1" applyFill="1" applyBorder="1" applyAlignment="1">
      <alignment horizontal="center" vertical="center"/>
    </xf>
    <xf numFmtId="164" fontId="0" fillId="10" borderId="8" xfId="0" applyNumberFormat="1" applyFill="1" applyBorder="1" applyAlignment="1">
      <alignment horizontal="center" vertical="center"/>
    </xf>
    <xf numFmtId="0" fontId="13" fillId="11" borderId="3" xfId="0" applyFont="1" applyFill="1" applyBorder="1" applyAlignment="1" applyProtection="1">
      <alignment horizontal="center" vertical="center"/>
      <protection locked="0"/>
    </xf>
    <xf numFmtId="0" fontId="13" fillId="11" borderId="5" xfId="0" applyFont="1" applyFill="1" applyBorder="1" applyAlignment="1" applyProtection="1">
      <alignment horizontal="center" vertical="center"/>
      <protection locked="0"/>
    </xf>
    <xf numFmtId="0" fontId="13" fillId="11" borderId="4" xfId="0" applyFont="1" applyFill="1" applyBorder="1" applyAlignment="1" applyProtection="1">
      <alignment horizontal="center" vertic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9" xfId="0" applyFont="1" applyFill="1" applyBorder="1" applyAlignment="1">
      <alignment horizontal="center"/>
    </xf>
    <xf numFmtId="0" fontId="1" fillId="10" borderId="6" xfId="0" applyFont="1" applyFill="1" applyBorder="1" applyAlignment="1" applyProtection="1">
      <alignment horizontal="center" vertical="center"/>
      <protection locked="0"/>
    </xf>
    <xf numFmtId="0" fontId="1" fillId="10" borderId="7" xfId="0" applyFont="1" applyFill="1" applyBorder="1" applyAlignment="1" applyProtection="1">
      <alignment horizontal="center" vertical="center"/>
      <protection locked="0"/>
    </xf>
    <xf numFmtId="0" fontId="1" fillId="10" borderId="8"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4" fontId="1" fillId="9" borderId="6" xfId="0" applyNumberFormat="1" applyFont="1" applyFill="1" applyBorder="1" applyAlignment="1">
      <alignment horizontal="center" vertical="center"/>
    </xf>
    <xf numFmtId="4" fontId="1" fillId="9" borderId="7" xfId="0" applyNumberFormat="1" applyFont="1" applyFill="1" applyBorder="1" applyAlignment="1">
      <alignment horizontal="center" vertical="center"/>
    </xf>
    <xf numFmtId="4" fontId="1" fillId="9" borderId="8" xfId="0" applyNumberFormat="1" applyFont="1" applyFill="1" applyBorder="1" applyAlignment="1">
      <alignment horizontal="center" vertical="center"/>
    </xf>
    <xf numFmtId="0" fontId="5" fillId="10" borderId="3" xfId="0" applyFont="1" applyFill="1" applyBorder="1" applyAlignment="1">
      <alignment horizontal="center"/>
    </xf>
    <xf numFmtId="0" fontId="5" fillId="10" borderId="5" xfId="0" applyFont="1" applyFill="1" applyBorder="1" applyAlignment="1">
      <alignment horizontal="center"/>
    </xf>
    <xf numFmtId="0" fontId="5" fillId="10" borderId="4" xfId="0" applyFont="1" applyFill="1" applyBorder="1" applyAlignment="1">
      <alignment horizontal="center"/>
    </xf>
    <xf numFmtId="0" fontId="0" fillId="13" borderId="1" xfId="0" applyFill="1" applyBorder="1" applyAlignment="1">
      <alignment horizontal="center" vertical="center"/>
    </xf>
    <xf numFmtId="0" fontId="0" fillId="13" borderId="1" xfId="0" applyFill="1" applyBorder="1"/>
    <xf numFmtId="164" fontId="0" fillId="13" borderId="6" xfId="0" applyNumberFormat="1" applyFill="1" applyBorder="1" applyAlignment="1">
      <alignment horizontal="center" vertical="center"/>
    </xf>
    <xf numFmtId="164" fontId="0" fillId="13" borderId="7" xfId="0" applyNumberFormat="1" applyFill="1" applyBorder="1" applyAlignment="1">
      <alignment horizontal="center" vertical="center"/>
    </xf>
    <xf numFmtId="164" fontId="0" fillId="13" borderId="8" xfId="0" applyNumberFormat="1" applyFill="1" applyBorder="1" applyAlignment="1">
      <alignment horizontal="center" vertical="center"/>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cellXfs>
  <cellStyles count="1">
    <cellStyle name="Normal" xfId="0" builtinId="0"/>
  </cellStyles>
  <dxfs count="10">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bottom style="thin">
          <color indexed="64"/>
        </bottom>
      </border>
    </dxf>
    <dxf>
      <font>
        <strike val="0"/>
        <outline val="0"/>
        <shadow val="0"/>
        <u val="none"/>
        <vertAlign val="baseline"/>
        <sz val="12"/>
        <color theme="0"/>
        <name val="Calibri"/>
        <scheme val="minor"/>
      </font>
      <fill>
        <patternFill patternType="solid">
          <fgColor indexed="64"/>
          <bgColor rgb="FF91D841"/>
        </patternFill>
      </fill>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BF8DC"/>
      <color rgb="FFCDEDA9"/>
      <color rgb="FF91D841"/>
      <color rgb="FFBDD430"/>
      <color rgb="FFECF3C5"/>
      <color rgb="FFF4F8DC"/>
      <color rgb="FF90A2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47625</xdr:rowOff>
    </xdr:from>
    <xdr:to>
      <xdr:col>8</xdr:col>
      <xdr:colOff>295275</xdr:colOff>
      <xdr:row>0</xdr:row>
      <xdr:rowOff>552450</xdr:rowOff>
    </xdr:to>
    <xdr:sp macro="" textlink="">
      <xdr:nvSpPr>
        <xdr:cNvPr id="2" name="TextBox 1">
          <a:extLst>
            <a:ext uri="{FF2B5EF4-FFF2-40B4-BE49-F238E27FC236}">
              <a16:creationId xmlns:a16="http://schemas.microsoft.com/office/drawing/2014/main" id="{A0A472D3-2D22-4F6F-AECA-F8A69CC2F0C0}"/>
            </a:ext>
          </a:extLst>
        </xdr:cNvPr>
        <xdr:cNvSpPr txBox="1"/>
      </xdr:nvSpPr>
      <xdr:spPr>
        <a:xfrm>
          <a:off x="266700" y="47625"/>
          <a:ext cx="7162800" cy="504825"/>
        </a:xfrm>
        <a:prstGeom prst="rect">
          <a:avLst/>
        </a:prstGeom>
        <a:solidFill>
          <a:srgbClr val="91D8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rPr>
            <a:t>Welcome to the Tetrathlon Scoresheet!</a:t>
          </a:r>
        </a:p>
      </xdr:txBody>
    </xdr:sp>
    <xdr:clientData/>
  </xdr:twoCellAnchor>
  <xdr:twoCellAnchor>
    <xdr:from>
      <xdr:col>0</xdr:col>
      <xdr:colOff>257175</xdr:colOff>
      <xdr:row>0</xdr:row>
      <xdr:rowOff>657225</xdr:rowOff>
    </xdr:from>
    <xdr:to>
      <xdr:col>8</xdr:col>
      <xdr:colOff>295275</xdr:colOff>
      <xdr:row>0</xdr:row>
      <xdr:rowOff>1000125</xdr:rowOff>
    </xdr:to>
    <xdr:sp macro="" textlink="">
      <xdr:nvSpPr>
        <xdr:cNvPr id="3" name="TextBox 2">
          <a:extLst>
            <a:ext uri="{FF2B5EF4-FFF2-40B4-BE49-F238E27FC236}">
              <a16:creationId xmlns:a16="http://schemas.microsoft.com/office/drawing/2014/main" id="{1B4F9727-DFD4-4727-82B6-D679563E8F10}"/>
            </a:ext>
          </a:extLst>
        </xdr:cNvPr>
        <xdr:cNvSpPr txBox="1"/>
      </xdr:nvSpPr>
      <xdr:spPr>
        <a:xfrm>
          <a:off x="257175" y="657225"/>
          <a:ext cx="7172325" cy="342900"/>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Please</a:t>
          </a:r>
          <a:r>
            <a:rPr lang="en-US" sz="1200" baseline="0"/>
            <a:t> read through all directions before utilizing the scoring spreadsheet. </a:t>
          </a:r>
          <a:endParaRPr lang="en-US" sz="1200"/>
        </a:p>
      </xdr:txBody>
    </xdr:sp>
    <xdr:clientData/>
  </xdr:twoCellAnchor>
  <xdr:twoCellAnchor>
    <xdr:from>
      <xdr:col>0</xdr:col>
      <xdr:colOff>247650</xdr:colOff>
      <xdr:row>1</xdr:row>
      <xdr:rowOff>38099</xdr:rowOff>
    </xdr:from>
    <xdr:to>
      <xdr:col>8</xdr:col>
      <xdr:colOff>285750</xdr:colOff>
      <xdr:row>3</xdr:row>
      <xdr:rowOff>66674</xdr:rowOff>
    </xdr:to>
    <xdr:sp macro="" textlink="">
      <xdr:nvSpPr>
        <xdr:cNvPr id="4" name="TextBox 3">
          <a:extLst>
            <a:ext uri="{FF2B5EF4-FFF2-40B4-BE49-F238E27FC236}">
              <a16:creationId xmlns:a16="http://schemas.microsoft.com/office/drawing/2014/main" id="{A3F4AB23-2803-49D3-84CC-037FE2408D2D}"/>
            </a:ext>
          </a:extLst>
        </xdr:cNvPr>
        <xdr:cNvSpPr txBox="1"/>
      </xdr:nvSpPr>
      <xdr:spPr>
        <a:xfrm>
          <a:off x="247650" y="1038224"/>
          <a:ext cx="7172325" cy="504825"/>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a:t>
          </a:r>
          <a:r>
            <a:rPr lang="en-US" sz="1200" baseline="0"/>
            <a:t> the chart below are all competition levels as listed in the Tetrathlon rulebook. Feel free to edit any of the levels below to tailor the needs of your rally. Any time a level is listed later in the spreadsheet, it pulls directly from this chart. Please do not leave blank spaces between levels. </a:t>
          </a:r>
          <a:endParaRPr lang="en-US" sz="1200"/>
        </a:p>
      </xdr:txBody>
    </xdr:sp>
    <xdr:clientData/>
  </xdr:twoCellAnchor>
  <xdr:twoCellAnchor>
    <xdr:from>
      <xdr:col>0</xdr:col>
      <xdr:colOff>171450</xdr:colOff>
      <xdr:row>17</xdr:row>
      <xdr:rowOff>190499</xdr:rowOff>
    </xdr:from>
    <xdr:to>
      <xdr:col>8</xdr:col>
      <xdr:colOff>209550</xdr:colOff>
      <xdr:row>26</xdr:row>
      <xdr:rowOff>57150</xdr:rowOff>
    </xdr:to>
    <xdr:sp macro="" textlink="">
      <xdr:nvSpPr>
        <xdr:cNvPr id="5" name="TextBox 4">
          <a:extLst>
            <a:ext uri="{FF2B5EF4-FFF2-40B4-BE49-F238E27FC236}">
              <a16:creationId xmlns:a16="http://schemas.microsoft.com/office/drawing/2014/main" id="{F62B0328-C513-46A7-8219-9CA62AF5DB75}"/>
            </a:ext>
          </a:extLst>
        </xdr:cNvPr>
        <xdr:cNvSpPr txBox="1"/>
      </xdr:nvSpPr>
      <xdr:spPr>
        <a:xfrm>
          <a:off x="171450" y="4543424"/>
          <a:ext cx="7172325" cy="1581151"/>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a:t>
          </a:r>
          <a:r>
            <a:rPr lang="en-US" sz="1200" baseline="0"/>
            <a:t> next tab is the Teams &amp; HM. Please enter in the Rally Name at the top in green and all information for the team such as: Name, Age, certifications, and choose a competition level from the pull down menu. Please note the pull-down menu comes directly from the table above, so it is important not to have any gaps between levels in the table. </a:t>
          </a:r>
        </a:p>
        <a:p>
          <a:endParaRPr lang="en-US" sz="1200" baseline="0"/>
        </a:p>
        <a:p>
          <a:r>
            <a:rPr lang="en-US" sz="1200" baseline="0"/>
            <a:t>All Horse Management scores will be entered in this tab as well. Please note the green cells calculate results and cannot be edited. As you may notice, the Team HM Score will not automatically calculate. This is to provide flexibility for all regions that provide Stable Managers. </a:t>
          </a:r>
          <a:endParaRPr lang="en-US" sz="1200"/>
        </a:p>
      </xdr:txBody>
    </xdr:sp>
    <xdr:clientData/>
  </xdr:twoCellAnchor>
  <xdr:twoCellAnchor>
    <xdr:from>
      <xdr:col>0</xdr:col>
      <xdr:colOff>171450</xdr:colOff>
      <xdr:row>26</xdr:row>
      <xdr:rowOff>114300</xdr:rowOff>
    </xdr:from>
    <xdr:to>
      <xdr:col>8</xdr:col>
      <xdr:colOff>209550</xdr:colOff>
      <xdr:row>30</xdr:row>
      <xdr:rowOff>9525</xdr:rowOff>
    </xdr:to>
    <xdr:sp macro="" textlink="">
      <xdr:nvSpPr>
        <xdr:cNvPr id="6" name="TextBox 5">
          <a:extLst>
            <a:ext uri="{FF2B5EF4-FFF2-40B4-BE49-F238E27FC236}">
              <a16:creationId xmlns:a16="http://schemas.microsoft.com/office/drawing/2014/main" id="{B34F19B8-27D5-439D-860D-69C3F3F96D2B}"/>
            </a:ext>
          </a:extLst>
        </xdr:cNvPr>
        <xdr:cNvSpPr txBox="1"/>
      </xdr:nvSpPr>
      <xdr:spPr>
        <a:xfrm>
          <a:off x="171450" y="6181725"/>
          <a:ext cx="7172325" cy="657225"/>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next few tabs (Ride</a:t>
          </a:r>
          <a:r>
            <a:rPr lang="en-US" sz="1200" baseline="0"/>
            <a:t>, Run, Shoot, Swim) are the tabs to enter in scores for competitors. Any cells that are green calculate scores or pull information from other sheets entered earlier. Please enter in the scores gathered from the phases in the white cells provided. </a:t>
          </a:r>
          <a:endParaRPr lang="en-US" sz="1200"/>
        </a:p>
      </xdr:txBody>
    </xdr:sp>
    <xdr:clientData/>
  </xdr:twoCellAnchor>
  <xdr:twoCellAnchor>
    <xdr:from>
      <xdr:col>0</xdr:col>
      <xdr:colOff>180975</xdr:colOff>
      <xdr:row>30</xdr:row>
      <xdr:rowOff>114300</xdr:rowOff>
    </xdr:from>
    <xdr:to>
      <xdr:col>8</xdr:col>
      <xdr:colOff>219075</xdr:colOff>
      <xdr:row>41</xdr:row>
      <xdr:rowOff>47625</xdr:rowOff>
    </xdr:to>
    <xdr:sp macro="" textlink="">
      <xdr:nvSpPr>
        <xdr:cNvPr id="7" name="TextBox 6">
          <a:extLst>
            <a:ext uri="{FF2B5EF4-FFF2-40B4-BE49-F238E27FC236}">
              <a16:creationId xmlns:a16="http://schemas.microsoft.com/office/drawing/2014/main" id="{20514C96-88E5-4E4D-BD75-A45F43B1B4B7}"/>
            </a:ext>
          </a:extLst>
        </xdr:cNvPr>
        <xdr:cNvSpPr txBox="1"/>
      </xdr:nvSpPr>
      <xdr:spPr>
        <a:xfrm>
          <a:off x="180975" y="6943725"/>
          <a:ext cx="7172325" cy="2028825"/>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last three</a:t>
          </a:r>
          <a:r>
            <a:rPr lang="en-US" sz="1200" baseline="0"/>
            <a:t> tabs are all calculated scores. "Scores" tab contains ALL scores for individuals and teams with a breakdown of the calculation. All cells within this tab are locked. </a:t>
          </a:r>
        </a:p>
        <a:p>
          <a:endParaRPr lang="en-US" sz="1200" baseline="0"/>
        </a:p>
        <a:p>
          <a:r>
            <a:rPr lang="en-US" sz="1200" baseline="0"/>
            <a:t>"Ind. Placings" are the individual placings of each member participating. It is split up by their competition level per the current discipline rulebook. All cells are locked in this tab.</a:t>
          </a:r>
        </a:p>
        <a:p>
          <a:endParaRPr lang="en-US" sz="1200" baseline="0"/>
        </a:p>
        <a:p>
          <a:r>
            <a:rPr lang="en-US" sz="1200" baseline="0"/>
            <a:t>"Team Placings" pulls all the team's scores, both Horse Management and Overall. You may arrange the placings in the table by clicking the arrow next to the desired column. Please see the yellow instructions in the tab. Please be aware that these cells are NOT locked to allow for the arrangement of results, avoid from deleting information as it could affect the calculations.</a:t>
          </a:r>
          <a:endParaRPr lang="en-US" sz="1200"/>
        </a:p>
      </xdr:txBody>
    </xdr:sp>
    <xdr:clientData/>
  </xdr:twoCellAnchor>
  <xdr:twoCellAnchor>
    <xdr:from>
      <xdr:col>0</xdr:col>
      <xdr:colOff>219075</xdr:colOff>
      <xdr:row>41</xdr:row>
      <xdr:rowOff>123824</xdr:rowOff>
    </xdr:from>
    <xdr:to>
      <xdr:col>8</xdr:col>
      <xdr:colOff>257175</xdr:colOff>
      <xdr:row>44</xdr:row>
      <xdr:rowOff>114299</xdr:rowOff>
    </xdr:to>
    <xdr:sp macro="" textlink="">
      <xdr:nvSpPr>
        <xdr:cNvPr id="8" name="TextBox 7">
          <a:extLst>
            <a:ext uri="{FF2B5EF4-FFF2-40B4-BE49-F238E27FC236}">
              <a16:creationId xmlns:a16="http://schemas.microsoft.com/office/drawing/2014/main" id="{1FA9CF6C-97B0-4666-BB22-FED1EED998D5}"/>
            </a:ext>
          </a:extLst>
        </xdr:cNvPr>
        <xdr:cNvSpPr txBox="1"/>
      </xdr:nvSpPr>
      <xdr:spPr>
        <a:xfrm>
          <a:off x="219075" y="9048749"/>
          <a:ext cx="7172325" cy="561975"/>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This scoresheet is maintained by the USPC National Office.</a:t>
          </a:r>
          <a:r>
            <a:rPr lang="en-US" sz="1200" baseline="0"/>
            <a:t> Any issues, questions, or suggestions about the scoring spreadsheet can be sent to scoring@ponyclub.org. </a:t>
          </a:r>
          <a:endParaRPr lang="en-US" sz="1200"/>
        </a:p>
      </xdr:txBody>
    </xdr:sp>
    <xdr:clientData/>
  </xdr:twoCellAnchor>
  <xdr:twoCellAnchor editAs="oneCell">
    <xdr:from>
      <xdr:col>3</xdr:col>
      <xdr:colOff>476250</xdr:colOff>
      <xdr:row>4</xdr:row>
      <xdr:rowOff>171450</xdr:rowOff>
    </xdr:from>
    <xdr:to>
      <xdr:col>7</xdr:col>
      <xdr:colOff>47625</xdr:colOff>
      <xdr:row>15</xdr:row>
      <xdr:rowOff>76200</xdr:rowOff>
    </xdr:to>
    <xdr:pic>
      <xdr:nvPicPr>
        <xdr:cNvPr id="12" name="Picture 11">
          <a:extLst>
            <a:ext uri="{FF2B5EF4-FFF2-40B4-BE49-F238E27FC236}">
              <a16:creationId xmlns:a16="http://schemas.microsoft.com/office/drawing/2014/main" id="{8580130A-5B8C-CAA9-3FA8-3BE1606910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2475" y="2038350"/>
          <a:ext cx="2009775" cy="2009775"/>
        </a:xfrm>
        <a:prstGeom prst="rect">
          <a:avLst/>
        </a:prstGeom>
      </xdr:spPr>
    </xdr:pic>
    <xdr:clientData/>
  </xdr:twoCellAnchor>
  <xdr:twoCellAnchor editAs="oneCell">
    <xdr:from>
      <xdr:col>0</xdr:col>
      <xdr:colOff>219075</xdr:colOff>
      <xdr:row>5</xdr:row>
      <xdr:rowOff>0</xdr:rowOff>
    </xdr:from>
    <xdr:to>
      <xdr:col>1</xdr:col>
      <xdr:colOff>85725</xdr:colOff>
      <xdr:row>15</xdr:row>
      <xdr:rowOff>104775</xdr:rowOff>
    </xdr:to>
    <xdr:pic>
      <xdr:nvPicPr>
        <xdr:cNvPr id="13" name="Picture 12">
          <a:extLst>
            <a:ext uri="{FF2B5EF4-FFF2-40B4-BE49-F238E27FC236}">
              <a16:creationId xmlns:a16="http://schemas.microsoft.com/office/drawing/2014/main" id="{582C27D8-2476-4A62-9C25-E03C93FC9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219075" y="2066925"/>
          <a:ext cx="2009775" cy="200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0</xdr:row>
      <xdr:rowOff>114300</xdr:rowOff>
    </xdr:from>
    <xdr:to>
      <xdr:col>5</xdr:col>
      <xdr:colOff>1323975</xdr:colOff>
      <xdr:row>0</xdr:row>
      <xdr:rowOff>723900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61975" y="114300"/>
          <a:ext cx="6124575" cy="609600"/>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To</a:t>
          </a:r>
          <a:r>
            <a:rPr lang="en-US" sz="1200" baseline="0"/>
            <a:t> view the placings from first to last, please click on the drop down arrow next to the column you'd like and sort, "A to Z". </a:t>
          </a:r>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F22" totalsRowShown="0" headerRowDxfId="9" dataDxfId="7" headerRowBorderDxfId="8" tableBorderDxfId="6" totalsRowBorderDxfId="5">
  <autoFilter ref="B2:F22" xr:uid="{00000000-0009-0000-0100-000001000000}"/>
  <tableColumns count="5">
    <tableColumn id="1" xr3:uid="{00000000-0010-0000-0000-000001000000}" name="Team" dataDxfId="4">
      <calculatedColumnFormula>IF('Teams &amp; HM'!C2="","",'Teams &amp; HM'!C2)</calculatedColumnFormula>
    </tableColumn>
    <tableColumn id="2" xr3:uid="{00000000-0010-0000-0000-000002000000}" name="HM Score" dataDxfId="3">
      <calculatedColumnFormula>IF(Table1[[#This Row],[Team]]="","",'Teams &amp; HM'!T4)</calculatedColumnFormula>
    </tableColumn>
    <tableColumn id="3" xr3:uid="{00000000-0010-0000-0000-000003000000}" name="HM Placing" dataDxfId="2">
      <calculatedColumnFormula>IF(C3="","",RANK(Table1[[#This Row],[HM Score]],Table1[HM Score],0))</calculatedColumnFormula>
    </tableColumn>
    <tableColumn id="4" xr3:uid="{00000000-0010-0000-0000-000004000000}" name="Overall Score" dataDxfId="1">
      <calculatedColumnFormula>IF(Table1[[#This Row],[Team]]="","",Scores!AU3)</calculatedColumnFormula>
    </tableColumn>
    <tableColumn id="5" xr3:uid="{00000000-0010-0000-0000-000005000000}" name="Overall Placing" dataDxfId="0">
      <calculatedColumnFormula>IF(E3="","",RANK(Table1[[#This Row],[Overall Score]],Table1[Overall Score],0))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sheetPr>
  <dimension ref="B1:K220"/>
  <sheetViews>
    <sheetView tabSelected="1" workbookViewId="0">
      <selection activeCell="J11" sqref="J11"/>
    </sheetView>
  </sheetViews>
  <sheetFormatPr defaultRowHeight="15" x14ac:dyDescent="0.25"/>
  <cols>
    <col min="1" max="1" width="32.140625" style="1" customWidth="1"/>
    <col min="2" max="2" width="9.140625" style="1"/>
    <col min="3" max="3" width="20" style="2" bestFit="1" customWidth="1"/>
    <col min="4" max="16384" width="9.140625" style="1"/>
  </cols>
  <sheetData>
    <row r="1" spans="3:3" ht="78.75" customHeight="1" x14ac:dyDescent="0.25"/>
    <row r="2" spans="3:3" ht="38.25" customHeight="1" x14ac:dyDescent="0.25"/>
    <row r="5" spans="3:3" ht="15.75" x14ac:dyDescent="0.25">
      <c r="C5" s="71" t="s">
        <v>0</v>
      </c>
    </row>
    <row r="6" spans="3:3" x14ac:dyDescent="0.25">
      <c r="C6" s="16" t="s">
        <v>1</v>
      </c>
    </row>
    <row r="7" spans="3:3" x14ac:dyDescent="0.25">
      <c r="C7" s="16" t="s">
        <v>2</v>
      </c>
    </row>
    <row r="8" spans="3:3" x14ac:dyDescent="0.25">
      <c r="C8" s="16" t="s">
        <v>3</v>
      </c>
    </row>
    <row r="9" spans="3:3" x14ac:dyDescent="0.25">
      <c r="C9" s="16" t="s">
        <v>4</v>
      </c>
    </row>
    <row r="10" spans="3:3" x14ac:dyDescent="0.25">
      <c r="C10" s="16" t="s">
        <v>5</v>
      </c>
    </row>
    <row r="11" spans="3:3" x14ac:dyDescent="0.25">
      <c r="C11" s="16" t="s">
        <v>6</v>
      </c>
    </row>
    <row r="12" spans="3:3" x14ac:dyDescent="0.25">
      <c r="C12" s="16" t="s">
        <v>7</v>
      </c>
    </row>
    <row r="13" spans="3:3" x14ac:dyDescent="0.25">
      <c r="C13" s="16" t="s">
        <v>8</v>
      </c>
    </row>
    <row r="14" spans="3:3" x14ac:dyDescent="0.25">
      <c r="C14" s="16" t="s">
        <v>9</v>
      </c>
    </row>
    <row r="15" spans="3:3" x14ac:dyDescent="0.25">
      <c r="C15" s="16" t="s">
        <v>10</v>
      </c>
    </row>
    <row r="16" spans="3:3" x14ac:dyDescent="0.25">
      <c r="C16" s="16" t="s">
        <v>11</v>
      </c>
    </row>
    <row r="17" spans="3:3" x14ac:dyDescent="0.25">
      <c r="C17" s="16" t="s">
        <v>12</v>
      </c>
    </row>
    <row r="200" spans="2:11" x14ac:dyDescent="0.25">
      <c r="B200" s="1" t="s">
        <v>13</v>
      </c>
      <c r="D200" s="1" t="s">
        <v>14</v>
      </c>
      <c r="E200" s="3" t="s">
        <v>15</v>
      </c>
      <c r="F200" s="3"/>
      <c r="G200" s="3"/>
      <c r="I200" s="3" t="s">
        <v>16</v>
      </c>
      <c r="K200" s="1" t="s">
        <v>17</v>
      </c>
    </row>
    <row r="201" spans="2:11" x14ac:dyDescent="0.25">
      <c r="B201" s="1" t="s">
        <v>18</v>
      </c>
      <c r="D201" s="1" t="s">
        <v>19</v>
      </c>
      <c r="E201" s="3" t="s">
        <v>20</v>
      </c>
      <c r="F201" s="3"/>
      <c r="G201" s="3"/>
      <c r="I201" s="3" t="s">
        <v>20</v>
      </c>
      <c r="K201" s="1" t="s">
        <v>21</v>
      </c>
    </row>
    <row r="202" spans="2:11" x14ac:dyDescent="0.25">
      <c r="B202" s="1" t="s">
        <v>22</v>
      </c>
      <c r="E202" s="3" t="s">
        <v>23</v>
      </c>
      <c r="F202" s="3"/>
      <c r="G202" s="3"/>
      <c r="I202" s="3" t="s">
        <v>23</v>
      </c>
      <c r="K202" s="1" t="s">
        <v>24</v>
      </c>
    </row>
    <row r="203" spans="2:11" x14ac:dyDescent="0.25">
      <c r="B203" s="1" t="s">
        <v>25</v>
      </c>
      <c r="E203" s="3" t="s">
        <v>26</v>
      </c>
      <c r="F203" s="3"/>
      <c r="G203" s="3"/>
      <c r="I203" s="3" t="s">
        <v>26</v>
      </c>
    </row>
    <row r="204" spans="2:11" x14ac:dyDescent="0.25">
      <c r="B204" s="1" t="s">
        <v>27</v>
      </c>
      <c r="E204" s="3" t="s">
        <v>28</v>
      </c>
      <c r="F204" s="3"/>
      <c r="G204" s="3"/>
      <c r="I204" s="3" t="s">
        <v>28</v>
      </c>
    </row>
    <row r="205" spans="2:11" x14ac:dyDescent="0.25">
      <c r="B205" s="1" t="s">
        <v>29</v>
      </c>
      <c r="E205" s="3" t="s">
        <v>30</v>
      </c>
      <c r="F205" s="3"/>
      <c r="G205" s="3"/>
      <c r="I205" s="3" t="s">
        <v>30</v>
      </c>
    </row>
    <row r="206" spans="2:11" x14ac:dyDescent="0.25">
      <c r="B206" s="1" t="s">
        <v>31</v>
      </c>
      <c r="E206" s="3" t="s">
        <v>32</v>
      </c>
      <c r="F206" s="3"/>
      <c r="G206" s="3"/>
      <c r="I206" s="3" t="s">
        <v>32</v>
      </c>
    </row>
    <row r="207" spans="2:11" x14ac:dyDescent="0.25">
      <c r="B207" s="1" t="s">
        <v>33</v>
      </c>
      <c r="E207" s="3" t="s">
        <v>34</v>
      </c>
      <c r="F207" s="3"/>
      <c r="G207" s="3"/>
      <c r="I207" s="3" t="s">
        <v>35</v>
      </c>
    </row>
    <row r="208" spans="2:11" x14ac:dyDescent="0.25">
      <c r="B208" s="1" t="s">
        <v>36</v>
      </c>
      <c r="E208" s="3" t="s">
        <v>37</v>
      </c>
      <c r="F208" s="3"/>
      <c r="G208" s="3"/>
      <c r="I208" s="3" t="s">
        <v>38</v>
      </c>
    </row>
    <row r="209" spans="2:9" x14ac:dyDescent="0.25">
      <c r="B209" s="1" t="s">
        <v>39</v>
      </c>
      <c r="I209" s="3" t="s">
        <v>40</v>
      </c>
    </row>
    <row r="210" spans="2:9" x14ac:dyDescent="0.25">
      <c r="B210" s="1" t="s">
        <v>41</v>
      </c>
      <c r="I210" s="3" t="s">
        <v>42</v>
      </c>
    </row>
    <row r="211" spans="2:9" x14ac:dyDescent="0.25">
      <c r="B211" s="1" t="s">
        <v>43</v>
      </c>
    </row>
    <row r="212" spans="2:9" x14ac:dyDescent="0.25">
      <c r="B212" s="1" t="s">
        <v>44</v>
      </c>
    </row>
    <row r="213" spans="2:9" x14ac:dyDescent="0.25">
      <c r="B213" s="1" t="s">
        <v>45</v>
      </c>
    </row>
    <row r="214" spans="2:9" x14ac:dyDescent="0.25">
      <c r="B214" s="1" t="s">
        <v>46</v>
      </c>
    </row>
    <row r="215" spans="2:9" x14ac:dyDescent="0.25">
      <c r="B215" s="1" t="s">
        <v>47</v>
      </c>
    </row>
    <row r="216" spans="2:9" x14ac:dyDescent="0.25">
      <c r="B216" s="1" t="s">
        <v>48</v>
      </c>
    </row>
    <row r="217" spans="2:9" x14ac:dyDescent="0.25">
      <c r="B217" s="1" t="s">
        <v>49</v>
      </c>
    </row>
    <row r="218" spans="2:9" x14ac:dyDescent="0.25">
      <c r="B218" s="1" t="s">
        <v>50</v>
      </c>
    </row>
    <row r="219" spans="2:9" x14ac:dyDescent="0.25">
      <c r="B219" s="1" t="s">
        <v>51</v>
      </c>
    </row>
    <row r="220" spans="2:9" x14ac:dyDescent="0.25">
      <c r="B220" s="1" t="s">
        <v>52</v>
      </c>
    </row>
  </sheetData>
  <sheetProtection algorithmName="SHA-512" hashValue="rMwigTdNSvFNXyLswVkNCMTUggip3TF6YfgkZIO+rv9/veXrqbzim9e15/TgGxRuhvZZrIv4ubEt4Hf309RHpg==" saltValue="+wGc9PYWxbM0QvdfGGbtQg=="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V160"/>
  <sheetViews>
    <sheetView zoomScale="90" zoomScaleNormal="90" workbookViewId="0">
      <pane ySplit="1" topLeftCell="A2" activePane="bottomLeft" state="frozen"/>
      <selection pane="bottomLeft" activeCell="K31" sqref="K31"/>
    </sheetView>
  </sheetViews>
  <sheetFormatPr defaultRowHeight="15" x14ac:dyDescent="0.25"/>
  <cols>
    <col min="1" max="1" width="5.85546875" style="6" bestFit="1" customWidth="1"/>
    <col min="2" max="2" width="22.28515625" style="6" bestFit="1" customWidth="1"/>
    <col min="3" max="3" width="3.5703125" style="6" customWidth="1"/>
    <col min="4" max="4" width="5.140625" style="6" customWidth="1"/>
    <col min="5" max="5" width="20.140625" style="6" customWidth="1"/>
    <col min="6" max="6" width="7.42578125" style="6" customWidth="1"/>
    <col min="7" max="7" width="7.5703125" style="6" customWidth="1"/>
    <col min="8" max="8" width="20" style="6" bestFit="1" customWidth="1"/>
    <col min="9" max="9" width="2.28515625" style="6" customWidth="1"/>
    <col min="10" max="10" width="9.7109375" style="6" customWidth="1"/>
    <col min="11" max="11" width="11.5703125" style="6" customWidth="1"/>
    <col min="12" max="12" width="9.140625" style="6"/>
    <col min="13" max="13" width="12.85546875" style="6" customWidth="1"/>
    <col min="14" max="14" width="7.7109375" style="6" customWidth="1"/>
    <col min="15" max="16" width="6.85546875" style="6" bestFit="1" customWidth="1"/>
    <col min="17" max="17" width="8" style="6" bestFit="1" customWidth="1"/>
    <col min="18" max="18" width="10.42578125" style="6" customWidth="1"/>
    <col min="19" max="19" width="14.42578125" style="6" customWidth="1"/>
    <col min="20" max="20" width="12.85546875" style="63" customWidth="1"/>
    <col min="21" max="16384" width="9.140625" style="6"/>
  </cols>
  <sheetData>
    <row r="1" spans="1:22" ht="51" customHeight="1" x14ac:dyDescent="0.25">
      <c r="A1" s="99"/>
      <c r="B1" s="100"/>
      <c r="C1" s="100"/>
      <c r="D1" s="100"/>
      <c r="E1" s="100"/>
      <c r="F1" s="100"/>
      <c r="G1" s="100"/>
      <c r="H1" s="100"/>
      <c r="I1" s="100"/>
      <c r="J1" s="100"/>
      <c r="K1" s="100"/>
      <c r="L1" s="100"/>
      <c r="M1" s="100"/>
      <c r="N1" s="100"/>
      <c r="O1" s="100"/>
      <c r="P1" s="100"/>
      <c r="Q1" s="100"/>
      <c r="R1" s="100"/>
      <c r="S1" s="100"/>
      <c r="T1" s="101"/>
      <c r="U1" s="4"/>
      <c r="V1" s="5"/>
    </row>
    <row r="2" spans="1:22" x14ac:dyDescent="0.25">
      <c r="A2" s="12"/>
      <c r="B2" s="46" t="s">
        <v>53</v>
      </c>
      <c r="C2" s="102"/>
      <c r="D2" s="103"/>
      <c r="E2" s="103"/>
      <c r="F2" s="103"/>
      <c r="G2" s="103"/>
      <c r="H2" s="104"/>
      <c r="J2" s="105" t="s">
        <v>54</v>
      </c>
      <c r="K2" s="106"/>
      <c r="L2" s="106"/>
      <c r="M2" s="106"/>
      <c r="N2" s="106"/>
      <c r="O2" s="106"/>
      <c r="P2" s="106"/>
      <c r="Q2" s="106"/>
      <c r="R2" s="106"/>
      <c r="S2" s="106"/>
      <c r="T2" s="107"/>
    </row>
    <row r="3" spans="1:22" s="8" customFormat="1" ht="30" x14ac:dyDescent="0.25">
      <c r="A3" s="41" t="s">
        <v>55</v>
      </c>
      <c r="B3" s="91" t="s">
        <v>56</v>
      </c>
      <c r="C3" s="92"/>
      <c r="D3" s="41" t="s">
        <v>57</v>
      </c>
      <c r="E3" s="41" t="s">
        <v>58</v>
      </c>
      <c r="F3" s="41" t="s">
        <v>59</v>
      </c>
      <c r="G3" s="41" t="s">
        <v>60</v>
      </c>
      <c r="H3" s="41" t="s">
        <v>61</v>
      </c>
      <c r="J3" s="41" t="s">
        <v>62</v>
      </c>
      <c r="K3" s="41" t="s">
        <v>63</v>
      </c>
      <c r="L3" s="41" t="s">
        <v>64</v>
      </c>
      <c r="M3" s="41" t="s">
        <v>65</v>
      </c>
      <c r="N3" s="41" t="s">
        <v>66</v>
      </c>
      <c r="O3" s="41" t="s">
        <v>67</v>
      </c>
      <c r="P3" s="41" t="s">
        <v>68</v>
      </c>
      <c r="Q3" s="41" t="s">
        <v>69</v>
      </c>
      <c r="R3" s="41" t="s">
        <v>70</v>
      </c>
      <c r="S3" s="41" t="s">
        <v>71</v>
      </c>
      <c r="T3" s="62" t="s">
        <v>72</v>
      </c>
    </row>
    <row r="4" spans="1:22" ht="15" customHeight="1" x14ac:dyDescent="0.25">
      <c r="A4" s="7"/>
      <c r="B4" s="7"/>
      <c r="C4" s="7"/>
      <c r="D4" s="7"/>
      <c r="E4" s="7"/>
      <c r="F4" s="7"/>
      <c r="G4" s="7"/>
      <c r="H4" s="7"/>
      <c r="J4" s="93" t="s">
        <v>73</v>
      </c>
      <c r="K4" s="7"/>
      <c r="L4" s="7"/>
      <c r="M4" s="7"/>
      <c r="N4" s="7"/>
      <c r="O4" s="7"/>
      <c r="P4" s="7"/>
      <c r="Q4" s="72" t="str">
        <f>IF(K4="","",SUM(K4:P4))</f>
        <v/>
      </c>
      <c r="R4" s="72" t="str">
        <f>IF(Q4="","",(1100-(Q4*50)))</f>
        <v/>
      </c>
      <c r="S4" s="72" t="str">
        <f>IF(Q4="","",IF($Q$8="",(1100-(Q4*50)),(1100-((($Q$8/COUNTA($A$4:$A$7))+Q4)*50))))</f>
        <v/>
      </c>
      <c r="T4" s="96">
        <f>IF(B8="",SUM(R4:R7),SUM(S4:S7))</f>
        <v>0</v>
      </c>
    </row>
    <row r="5" spans="1:22" x14ac:dyDescent="0.25">
      <c r="A5" s="7"/>
      <c r="B5" s="7"/>
      <c r="C5" s="7"/>
      <c r="D5" s="7"/>
      <c r="E5" s="7"/>
      <c r="F5" s="7"/>
      <c r="G5" s="7"/>
      <c r="H5" s="7"/>
      <c r="J5" s="94"/>
      <c r="K5" s="7"/>
      <c r="L5" s="7"/>
      <c r="M5" s="7"/>
      <c r="N5" s="7"/>
      <c r="O5" s="7"/>
      <c r="P5" s="7"/>
      <c r="Q5" s="72" t="str">
        <f>IF(K5="","",SUM(K5:P5))</f>
        <v/>
      </c>
      <c r="R5" s="72" t="str">
        <f t="shared" ref="R5:R8" si="0">IF(Q5="","",(1100-(Q5*50)))</f>
        <v/>
      </c>
      <c r="S5" s="72" t="str">
        <f t="shared" ref="S5:S7" si="1">IF(Q5="","",IF($Q$8="",(1100-(Q5*50)),(1100-((($Q$8/COUNTA($A$4:$A$7))+Q5)*50))))</f>
        <v/>
      </c>
      <c r="T5" s="97"/>
    </row>
    <row r="6" spans="1:22" x14ac:dyDescent="0.25">
      <c r="A6" s="7"/>
      <c r="B6" s="7"/>
      <c r="C6" s="7"/>
      <c r="D6" s="7"/>
      <c r="E6" s="7"/>
      <c r="F6" s="7"/>
      <c r="G6" s="7"/>
      <c r="H6" s="7"/>
      <c r="J6" s="94"/>
      <c r="K6" s="7"/>
      <c r="L6" s="7"/>
      <c r="M6" s="7"/>
      <c r="N6" s="7"/>
      <c r="O6" s="7"/>
      <c r="P6" s="7"/>
      <c r="Q6" s="72" t="str">
        <f>IF(K6="","",SUM(K6:P6))</f>
        <v/>
      </c>
      <c r="R6" s="72" t="str">
        <f t="shared" si="0"/>
        <v/>
      </c>
      <c r="S6" s="72" t="str">
        <f t="shared" si="1"/>
        <v/>
      </c>
      <c r="T6" s="97"/>
    </row>
    <row r="7" spans="1:22" x14ac:dyDescent="0.25">
      <c r="A7" s="7"/>
      <c r="B7" s="7"/>
      <c r="C7" s="7"/>
      <c r="D7" s="7"/>
      <c r="E7" s="7"/>
      <c r="F7" s="7"/>
      <c r="G7" s="7"/>
      <c r="H7" s="7"/>
      <c r="J7" s="94"/>
      <c r="K7" s="7"/>
      <c r="L7" s="7"/>
      <c r="M7" s="7"/>
      <c r="N7" s="7"/>
      <c r="O7" s="7"/>
      <c r="P7" s="7"/>
      <c r="Q7" s="72" t="str">
        <f>IF(K7="","",SUM(K7:P7))</f>
        <v/>
      </c>
      <c r="R7" s="72" t="str">
        <f t="shared" si="0"/>
        <v/>
      </c>
      <c r="S7" s="72" t="str">
        <f t="shared" si="1"/>
        <v/>
      </c>
      <c r="T7" s="97"/>
    </row>
    <row r="8" spans="1:22" x14ac:dyDescent="0.25">
      <c r="A8" s="7"/>
      <c r="B8" s="7"/>
      <c r="C8" s="7"/>
      <c r="D8" s="7"/>
      <c r="E8" s="70" t="s">
        <v>74</v>
      </c>
      <c r="F8" s="49"/>
      <c r="G8" s="7"/>
      <c r="H8" s="50"/>
      <c r="J8" s="95"/>
      <c r="K8" s="7"/>
      <c r="L8" s="72" t="str">
        <f>IF(B8="","",(AVERAGE(L4:L7)))</f>
        <v/>
      </c>
      <c r="M8" s="7"/>
      <c r="N8" s="7"/>
      <c r="O8" s="7"/>
      <c r="P8" s="7"/>
      <c r="Q8" s="72" t="str">
        <f>IF(K8="","",SUM(K8:P8))</f>
        <v/>
      </c>
      <c r="R8" s="72" t="str">
        <f t="shared" si="0"/>
        <v/>
      </c>
      <c r="S8" s="72"/>
      <c r="T8" s="98"/>
    </row>
    <row r="10" spans="1:22" x14ac:dyDescent="0.25">
      <c r="A10" s="7"/>
      <c r="B10" s="45" t="s">
        <v>53</v>
      </c>
      <c r="C10" s="85"/>
      <c r="D10" s="86"/>
      <c r="E10" s="86"/>
      <c r="F10" s="86"/>
      <c r="G10" s="86"/>
      <c r="H10" s="87"/>
      <c r="J10" s="88" t="s">
        <v>54</v>
      </c>
      <c r="K10" s="89"/>
      <c r="L10" s="89"/>
      <c r="M10" s="89"/>
      <c r="N10" s="89"/>
      <c r="O10" s="89"/>
      <c r="P10" s="89"/>
      <c r="Q10" s="89"/>
      <c r="R10" s="89"/>
      <c r="S10" s="89"/>
      <c r="T10" s="90"/>
      <c r="U10" s="1"/>
    </row>
    <row r="11" spans="1:22" ht="30" x14ac:dyDescent="0.25">
      <c r="A11" s="41" t="s">
        <v>55</v>
      </c>
      <c r="B11" s="91" t="s">
        <v>56</v>
      </c>
      <c r="C11" s="92"/>
      <c r="D11" s="41" t="s">
        <v>57</v>
      </c>
      <c r="E11" s="41" t="s">
        <v>58</v>
      </c>
      <c r="F11" s="41" t="s">
        <v>59</v>
      </c>
      <c r="G11" s="41" t="s">
        <v>60</v>
      </c>
      <c r="H11" s="41" t="s">
        <v>61</v>
      </c>
      <c r="I11" s="8"/>
      <c r="J11" s="41" t="s">
        <v>62</v>
      </c>
      <c r="K11" s="41" t="s">
        <v>63</v>
      </c>
      <c r="L11" s="41" t="s">
        <v>64</v>
      </c>
      <c r="M11" s="41" t="s">
        <v>65</v>
      </c>
      <c r="N11" s="41" t="s">
        <v>66</v>
      </c>
      <c r="O11" s="41" t="s">
        <v>67</v>
      </c>
      <c r="P11" s="41" t="s">
        <v>68</v>
      </c>
      <c r="Q11" s="41" t="s">
        <v>69</v>
      </c>
      <c r="R11" s="41" t="s">
        <v>70</v>
      </c>
      <c r="S11" s="41" t="s">
        <v>71</v>
      </c>
      <c r="T11" s="62" t="s">
        <v>72</v>
      </c>
      <c r="U11" s="1"/>
    </row>
    <row r="12" spans="1:22" x14ac:dyDescent="0.25">
      <c r="A12" s="7"/>
      <c r="B12" s="7"/>
      <c r="C12" s="7"/>
      <c r="D12" s="7"/>
      <c r="E12" s="7"/>
      <c r="F12" s="7"/>
      <c r="G12" s="7"/>
      <c r="H12" s="7"/>
      <c r="J12" s="93" t="s">
        <v>73</v>
      </c>
      <c r="K12" s="7"/>
      <c r="L12" s="7"/>
      <c r="M12" s="7"/>
      <c r="N12" s="7"/>
      <c r="O12" s="7"/>
      <c r="P12" s="7"/>
      <c r="Q12" s="72" t="str">
        <f>IF(K12="","",SUM(K12:P12))</f>
        <v/>
      </c>
      <c r="R12" s="72" t="str">
        <f>IF(Q12="","",(1100-(Q12*50)))</f>
        <v/>
      </c>
      <c r="S12" s="72" t="str">
        <f>IF(Q12="","",IF($Q$16="",(1100-(Q12*50)),(1100-((($Q$16/COUNTA($A$12:$A$15))+Q12)*50))))</f>
        <v/>
      </c>
      <c r="T12" s="96">
        <f>IF(B16="",SUM(R12:R15),SUM(S12:S15))</f>
        <v>0</v>
      </c>
      <c r="U12" s="1"/>
    </row>
    <row r="13" spans="1:22" x14ac:dyDescent="0.25">
      <c r="A13" s="7"/>
      <c r="B13" s="7"/>
      <c r="C13" s="7"/>
      <c r="D13" s="7"/>
      <c r="E13" s="7"/>
      <c r="F13" s="7"/>
      <c r="G13" s="7"/>
      <c r="H13" s="7"/>
      <c r="J13" s="94"/>
      <c r="K13" s="7"/>
      <c r="L13" s="7"/>
      <c r="M13" s="7"/>
      <c r="N13" s="7"/>
      <c r="O13" s="7"/>
      <c r="P13" s="7"/>
      <c r="Q13" s="72" t="str">
        <f>IF(K13="","",SUM(K13:P13))</f>
        <v/>
      </c>
      <c r="R13" s="72" t="str">
        <f t="shared" ref="R13:R15" si="2">IF(Q13="","",(1100-(Q13*50)))</f>
        <v/>
      </c>
      <c r="S13" s="72" t="str">
        <f t="shared" ref="S13:S15" si="3">IF(Q13="","",IF($Q$16="",(1100-(Q13*50)),(1100-((($Q$16/COUNTA($A$12:$A$15))+Q13)*50))))</f>
        <v/>
      </c>
      <c r="T13" s="97"/>
      <c r="U13" s="1"/>
    </row>
    <row r="14" spans="1:22" x14ac:dyDescent="0.25">
      <c r="A14" s="7"/>
      <c r="B14" s="7"/>
      <c r="C14" s="7"/>
      <c r="D14" s="7"/>
      <c r="E14" s="7"/>
      <c r="F14" s="7"/>
      <c r="G14" s="7"/>
      <c r="H14" s="7"/>
      <c r="J14" s="94"/>
      <c r="K14" s="7"/>
      <c r="L14" s="7"/>
      <c r="M14" s="7"/>
      <c r="N14" s="7"/>
      <c r="O14" s="7"/>
      <c r="P14" s="7"/>
      <c r="Q14" s="72" t="str">
        <f>IF(K14="","",SUM(K14:P14))</f>
        <v/>
      </c>
      <c r="R14" s="72" t="str">
        <f t="shared" si="2"/>
        <v/>
      </c>
      <c r="S14" s="72" t="str">
        <f t="shared" si="3"/>
        <v/>
      </c>
      <c r="T14" s="97"/>
      <c r="U14" s="1"/>
    </row>
    <row r="15" spans="1:22" x14ac:dyDescent="0.25">
      <c r="A15" s="7"/>
      <c r="B15" s="7"/>
      <c r="C15" s="7"/>
      <c r="D15" s="7"/>
      <c r="E15" s="7"/>
      <c r="F15" s="7"/>
      <c r="G15" s="7"/>
      <c r="H15" s="7"/>
      <c r="J15" s="94"/>
      <c r="K15" s="7"/>
      <c r="L15" s="7"/>
      <c r="M15" s="7"/>
      <c r="N15" s="7"/>
      <c r="O15" s="7"/>
      <c r="P15" s="7"/>
      <c r="Q15" s="72" t="str">
        <f>IF(K15="","",SUM(K15:P15))</f>
        <v/>
      </c>
      <c r="R15" s="72" t="str">
        <f t="shared" si="2"/>
        <v/>
      </c>
      <c r="S15" s="72" t="str">
        <f t="shared" si="3"/>
        <v/>
      </c>
      <c r="T15" s="97"/>
      <c r="U15" s="1"/>
    </row>
    <row r="16" spans="1:22" x14ac:dyDescent="0.25">
      <c r="A16" s="7"/>
      <c r="B16" s="7"/>
      <c r="C16" s="7"/>
      <c r="D16" s="7"/>
      <c r="E16" s="70" t="s">
        <v>74</v>
      </c>
      <c r="F16" s="49"/>
      <c r="G16" s="7"/>
      <c r="H16" s="50"/>
      <c r="J16" s="95"/>
      <c r="K16" s="7"/>
      <c r="L16" s="72" t="str">
        <f>IF(B16="","",(AVERAGE(L12:L15)))</f>
        <v/>
      </c>
      <c r="M16" s="7"/>
      <c r="N16" s="7"/>
      <c r="O16" s="7"/>
      <c r="P16" s="7"/>
      <c r="Q16" s="72" t="str">
        <f>IF(K16="","",SUM(K16:P16))</f>
        <v/>
      </c>
      <c r="R16" s="72" t="str">
        <f>IF(Q16="","",(1100-(Q16*50)))</f>
        <v/>
      </c>
      <c r="S16" s="72"/>
      <c r="T16" s="98"/>
      <c r="U16" s="1"/>
    </row>
    <row r="17" spans="1:21" x14ac:dyDescent="0.25">
      <c r="A17" s="1"/>
      <c r="B17" s="1"/>
      <c r="C17" s="1"/>
      <c r="D17" s="1"/>
      <c r="E17" s="1"/>
      <c r="F17" s="1"/>
      <c r="G17" s="1"/>
      <c r="H17" s="1"/>
      <c r="I17" s="1"/>
      <c r="J17" s="1"/>
      <c r="K17" s="1"/>
      <c r="L17" s="1"/>
      <c r="M17" s="1"/>
      <c r="N17" s="1"/>
      <c r="O17" s="1"/>
      <c r="P17" s="1"/>
      <c r="Q17" s="1"/>
      <c r="R17" s="1"/>
      <c r="S17" s="1"/>
      <c r="T17" s="61"/>
      <c r="U17" s="1"/>
    </row>
    <row r="18" spans="1:21" x14ac:dyDescent="0.25">
      <c r="A18" s="7"/>
      <c r="B18" s="45" t="s">
        <v>53</v>
      </c>
      <c r="C18" s="85"/>
      <c r="D18" s="86"/>
      <c r="E18" s="86"/>
      <c r="F18" s="86"/>
      <c r="G18" s="86"/>
      <c r="H18" s="87"/>
      <c r="J18" s="88" t="s">
        <v>54</v>
      </c>
      <c r="K18" s="89"/>
      <c r="L18" s="89"/>
      <c r="M18" s="89"/>
      <c r="N18" s="89"/>
      <c r="O18" s="89"/>
      <c r="P18" s="89"/>
      <c r="Q18" s="89"/>
      <c r="R18" s="89"/>
      <c r="S18" s="89"/>
      <c r="T18" s="90"/>
      <c r="U18" s="1"/>
    </row>
    <row r="19" spans="1:21" ht="30" x14ac:dyDescent="0.25">
      <c r="A19" s="41" t="s">
        <v>55</v>
      </c>
      <c r="B19" s="91" t="s">
        <v>56</v>
      </c>
      <c r="C19" s="92"/>
      <c r="D19" s="41" t="s">
        <v>57</v>
      </c>
      <c r="E19" s="41" t="s">
        <v>58</v>
      </c>
      <c r="F19" s="41" t="s">
        <v>59</v>
      </c>
      <c r="G19" s="41" t="s">
        <v>60</v>
      </c>
      <c r="H19" s="41" t="s">
        <v>61</v>
      </c>
      <c r="I19" s="8"/>
      <c r="J19" s="41" t="s">
        <v>62</v>
      </c>
      <c r="K19" s="41" t="s">
        <v>63</v>
      </c>
      <c r="L19" s="41" t="s">
        <v>64</v>
      </c>
      <c r="M19" s="41" t="s">
        <v>65</v>
      </c>
      <c r="N19" s="41" t="s">
        <v>66</v>
      </c>
      <c r="O19" s="41" t="s">
        <v>67</v>
      </c>
      <c r="P19" s="41" t="s">
        <v>68</v>
      </c>
      <c r="Q19" s="41" t="s">
        <v>69</v>
      </c>
      <c r="R19" s="41" t="s">
        <v>70</v>
      </c>
      <c r="S19" s="41" t="s">
        <v>71</v>
      </c>
      <c r="T19" s="62" t="s">
        <v>72</v>
      </c>
      <c r="U19" s="1"/>
    </row>
    <row r="20" spans="1:21" x14ac:dyDescent="0.25">
      <c r="A20" s="7"/>
      <c r="B20" s="7"/>
      <c r="C20" s="7"/>
      <c r="D20" s="7"/>
      <c r="E20" s="7"/>
      <c r="F20" s="7"/>
      <c r="G20" s="7"/>
      <c r="H20" s="7"/>
      <c r="J20" s="93" t="s">
        <v>73</v>
      </c>
      <c r="K20" s="7"/>
      <c r="L20" s="7"/>
      <c r="M20" s="7"/>
      <c r="N20" s="7"/>
      <c r="O20" s="7"/>
      <c r="P20" s="7"/>
      <c r="Q20" s="72" t="str">
        <f>IF(K20="","",SUM(K20:P20))</f>
        <v/>
      </c>
      <c r="R20" s="72" t="str">
        <f>IF(Q20="","",(1100-(Q20*50)))</f>
        <v/>
      </c>
      <c r="S20" s="72" t="str">
        <f>IF(Q20="","",IF($Q$24="",(1100-(Q20*50)),(1100-((($Q$24/COUNTA($A$20:$A$23))+Q20)*50))))</f>
        <v/>
      </c>
      <c r="T20" s="96">
        <f>IF(B24="",SUM(R20:R23),SUM(S20:S23))</f>
        <v>0</v>
      </c>
      <c r="U20" s="1"/>
    </row>
    <row r="21" spans="1:21" x14ac:dyDescent="0.25">
      <c r="A21" s="7"/>
      <c r="B21" s="7"/>
      <c r="C21" s="7"/>
      <c r="D21" s="7"/>
      <c r="E21" s="7"/>
      <c r="F21" s="7"/>
      <c r="G21" s="7"/>
      <c r="H21" s="7"/>
      <c r="J21" s="94"/>
      <c r="K21" s="7"/>
      <c r="L21" s="7"/>
      <c r="M21" s="7"/>
      <c r="N21" s="7"/>
      <c r="O21" s="7"/>
      <c r="P21" s="7"/>
      <c r="Q21" s="72" t="str">
        <f>IF(K21="","",SUM(K21:P21))</f>
        <v/>
      </c>
      <c r="R21" s="72" t="str">
        <f t="shared" ref="R21:R23" si="4">IF(Q21="","",(1100-(Q21*50)))</f>
        <v/>
      </c>
      <c r="S21" s="72" t="str">
        <f t="shared" ref="S21:S23" si="5">IF(Q21="","",IF($Q$24="",(1100-(Q21*50)),(1100-((($Q$24/COUNTA($A$20:$A$23))+Q21)*50))))</f>
        <v/>
      </c>
      <c r="T21" s="97"/>
      <c r="U21" s="1"/>
    </row>
    <row r="22" spans="1:21" x14ac:dyDescent="0.25">
      <c r="A22" s="7"/>
      <c r="B22" s="7"/>
      <c r="C22" s="7"/>
      <c r="D22" s="7"/>
      <c r="E22" s="7"/>
      <c r="F22" s="7"/>
      <c r="G22" s="7"/>
      <c r="H22" s="7"/>
      <c r="J22" s="94"/>
      <c r="K22" s="7"/>
      <c r="L22" s="7"/>
      <c r="M22" s="7"/>
      <c r="N22" s="7"/>
      <c r="O22" s="7"/>
      <c r="P22" s="7"/>
      <c r="Q22" s="72" t="str">
        <f>IF(K22="","",SUM(K22:P22))</f>
        <v/>
      </c>
      <c r="R22" s="72" t="str">
        <f t="shared" si="4"/>
        <v/>
      </c>
      <c r="S22" s="72" t="str">
        <f t="shared" si="5"/>
        <v/>
      </c>
      <c r="T22" s="97"/>
      <c r="U22" s="1"/>
    </row>
    <row r="23" spans="1:21" x14ac:dyDescent="0.25">
      <c r="A23" s="7"/>
      <c r="B23" s="7"/>
      <c r="C23" s="7"/>
      <c r="D23" s="7"/>
      <c r="E23" s="7"/>
      <c r="F23" s="7"/>
      <c r="G23" s="7"/>
      <c r="H23" s="7"/>
      <c r="J23" s="94"/>
      <c r="K23" s="7"/>
      <c r="L23" s="7"/>
      <c r="M23" s="7"/>
      <c r="N23" s="7"/>
      <c r="O23" s="7"/>
      <c r="P23" s="7"/>
      <c r="Q23" s="72" t="str">
        <f>IF(K23="","",SUM(K23:P23))</f>
        <v/>
      </c>
      <c r="R23" s="72" t="str">
        <f t="shared" si="4"/>
        <v/>
      </c>
      <c r="S23" s="72" t="str">
        <f t="shared" si="5"/>
        <v/>
      </c>
      <c r="T23" s="97"/>
      <c r="U23" s="1"/>
    </row>
    <row r="24" spans="1:21" x14ac:dyDescent="0.25">
      <c r="A24" s="7"/>
      <c r="B24" s="7"/>
      <c r="C24" s="7"/>
      <c r="D24" s="7"/>
      <c r="E24" s="70" t="s">
        <v>74</v>
      </c>
      <c r="F24" s="49"/>
      <c r="G24" s="7"/>
      <c r="H24" s="50"/>
      <c r="J24" s="95"/>
      <c r="K24" s="7"/>
      <c r="L24" s="72" t="str">
        <f>IF(B24="","",(AVERAGE(L20:L23)))</f>
        <v/>
      </c>
      <c r="M24" s="7"/>
      <c r="N24" s="7"/>
      <c r="O24" s="7"/>
      <c r="P24" s="7"/>
      <c r="Q24" s="72" t="str">
        <f>IF(K24="","",SUM(K24:P24))</f>
        <v/>
      </c>
      <c r="R24" s="72" t="str">
        <f>IF(Q24="","",(1100-(Q24*50)))</f>
        <v/>
      </c>
      <c r="S24" s="72"/>
      <c r="T24" s="98"/>
      <c r="U24" s="1"/>
    </row>
    <row r="25" spans="1:21" x14ac:dyDescent="0.25">
      <c r="A25" s="1"/>
      <c r="B25" s="1"/>
      <c r="C25" s="1"/>
      <c r="D25" s="1"/>
      <c r="E25" s="1"/>
      <c r="F25" s="1"/>
      <c r="G25" s="1"/>
      <c r="H25" s="1"/>
      <c r="I25" s="1"/>
      <c r="J25" s="1"/>
      <c r="K25" s="1"/>
      <c r="L25" s="1"/>
      <c r="M25" s="1"/>
      <c r="N25" s="1"/>
      <c r="O25" s="1"/>
      <c r="P25" s="1"/>
      <c r="Q25" s="1"/>
      <c r="R25" s="1"/>
      <c r="S25" s="1"/>
      <c r="T25" s="61"/>
      <c r="U25" s="1"/>
    </row>
    <row r="26" spans="1:21" ht="15" customHeight="1" x14ac:dyDescent="0.25">
      <c r="A26" s="7"/>
      <c r="B26" s="45" t="s">
        <v>53</v>
      </c>
      <c r="C26" s="85"/>
      <c r="D26" s="86"/>
      <c r="E26" s="86"/>
      <c r="F26" s="86"/>
      <c r="G26" s="86"/>
      <c r="H26" s="87"/>
      <c r="J26" s="88" t="s">
        <v>54</v>
      </c>
      <c r="K26" s="89"/>
      <c r="L26" s="89"/>
      <c r="M26" s="89"/>
      <c r="N26" s="89"/>
      <c r="O26" s="89"/>
      <c r="P26" s="89"/>
      <c r="Q26" s="89"/>
      <c r="R26" s="89"/>
      <c r="S26" s="89"/>
      <c r="T26" s="90"/>
      <c r="U26" s="1"/>
    </row>
    <row r="27" spans="1:21" ht="30" x14ac:dyDescent="0.25">
      <c r="A27" s="41" t="s">
        <v>55</v>
      </c>
      <c r="B27" s="91" t="s">
        <v>56</v>
      </c>
      <c r="C27" s="92"/>
      <c r="D27" s="41" t="s">
        <v>57</v>
      </c>
      <c r="E27" s="41" t="s">
        <v>58</v>
      </c>
      <c r="F27" s="41" t="s">
        <v>59</v>
      </c>
      <c r="G27" s="41" t="s">
        <v>60</v>
      </c>
      <c r="H27" s="41" t="s">
        <v>61</v>
      </c>
      <c r="I27" s="8"/>
      <c r="J27" s="41" t="s">
        <v>62</v>
      </c>
      <c r="K27" s="41" t="s">
        <v>63</v>
      </c>
      <c r="L27" s="41" t="s">
        <v>64</v>
      </c>
      <c r="M27" s="41" t="s">
        <v>65</v>
      </c>
      <c r="N27" s="41" t="s">
        <v>66</v>
      </c>
      <c r="O27" s="41" t="s">
        <v>67</v>
      </c>
      <c r="P27" s="41" t="s">
        <v>68</v>
      </c>
      <c r="Q27" s="41" t="s">
        <v>69</v>
      </c>
      <c r="R27" s="41" t="s">
        <v>70</v>
      </c>
      <c r="S27" s="41" t="s">
        <v>71</v>
      </c>
      <c r="T27" s="62" t="s">
        <v>72</v>
      </c>
      <c r="U27" s="1"/>
    </row>
    <row r="28" spans="1:21" x14ac:dyDescent="0.25">
      <c r="A28" s="7"/>
      <c r="B28" s="7"/>
      <c r="C28" s="7"/>
      <c r="D28" s="7"/>
      <c r="E28" s="7"/>
      <c r="F28" s="7"/>
      <c r="G28" s="7"/>
      <c r="H28" s="7"/>
      <c r="J28" s="93" t="s">
        <v>73</v>
      </c>
      <c r="K28" s="7"/>
      <c r="L28" s="7"/>
      <c r="M28" s="7"/>
      <c r="N28" s="7"/>
      <c r="O28" s="7"/>
      <c r="P28" s="7"/>
      <c r="Q28" s="72" t="str">
        <f>IF(K28="","",SUM(K28:P28))</f>
        <v/>
      </c>
      <c r="R28" s="72" t="str">
        <f>IF(Q28="","",(1100-(Q28*50)))</f>
        <v/>
      </c>
      <c r="S28" s="72" t="str">
        <f>IF(Q28="","",IF($Q$32="",(1100-(Q28*50)),(1100-((($Q$32/COUNTA($A$28:$A$31))+Q28)*50))))</f>
        <v/>
      </c>
      <c r="T28" s="96">
        <f>IF(B32="",SUM(R28:R31),SUM(S28:S31))</f>
        <v>0</v>
      </c>
      <c r="U28" s="1"/>
    </row>
    <row r="29" spans="1:21" x14ac:dyDescent="0.25">
      <c r="A29" s="7"/>
      <c r="B29" s="7"/>
      <c r="C29" s="7"/>
      <c r="D29" s="7"/>
      <c r="E29" s="7"/>
      <c r="F29" s="7"/>
      <c r="G29" s="7"/>
      <c r="H29" s="7"/>
      <c r="J29" s="94"/>
      <c r="K29" s="7"/>
      <c r="L29" s="7"/>
      <c r="M29" s="7"/>
      <c r="N29" s="7"/>
      <c r="O29" s="7"/>
      <c r="P29" s="7"/>
      <c r="Q29" s="72" t="str">
        <f>IF(K29="","",SUM(K29:P29))</f>
        <v/>
      </c>
      <c r="R29" s="72" t="str">
        <f t="shared" ref="R29:R31" si="6">IF(Q29="","",(1100-(Q29*50)))</f>
        <v/>
      </c>
      <c r="S29" s="72" t="str">
        <f t="shared" ref="S29:S31" si="7">IF(Q29="","",IF($Q$32="",(1100-(Q29*50)),(1100-((($Q$32/COUNTA($A$28:$A$31))+Q29)*50))))</f>
        <v/>
      </c>
      <c r="T29" s="97"/>
      <c r="U29" s="1"/>
    </row>
    <row r="30" spans="1:21" x14ac:dyDescent="0.25">
      <c r="A30" s="7"/>
      <c r="B30" s="7"/>
      <c r="C30" s="7"/>
      <c r="D30" s="7"/>
      <c r="E30" s="7"/>
      <c r="F30" s="7"/>
      <c r="G30" s="7"/>
      <c r="H30" s="7"/>
      <c r="J30" s="94"/>
      <c r="K30" s="7"/>
      <c r="L30" s="7"/>
      <c r="M30" s="7"/>
      <c r="N30" s="7"/>
      <c r="O30" s="7"/>
      <c r="P30" s="7"/>
      <c r="Q30" s="72" t="str">
        <f>IF(K30="","",SUM(K30:P30))</f>
        <v/>
      </c>
      <c r="R30" s="72" t="str">
        <f t="shared" si="6"/>
        <v/>
      </c>
      <c r="S30" s="72" t="str">
        <f t="shared" si="7"/>
        <v/>
      </c>
      <c r="T30" s="97"/>
      <c r="U30" s="1"/>
    </row>
    <row r="31" spans="1:21" x14ac:dyDescent="0.25">
      <c r="A31" s="7"/>
      <c r="B31" s="7"/>
      <c r="C31" s="7"/>
      <c r="D31" s="7"/>
      <c r="E31" s="7"/>
      <c r="F31" s="7"/>
      <c r="G31" s="7"/>
      <c r="H31" s="7"/>
      <c r="J31" s="94"/>
      <c r="K31" s="7"/>
      <c r="L31" s="7"/>
      <c r="M31" s="7"/>
      <c r="N31" s="7"/>
      <c r="O31" s="7"/>
      <c r="P31" s="7"/>
      <c r="Q31" s="72" t="str">
        <f>IF(K31="","",SUM(K31:P31))</f>
        <v/>
      </c>
      <c r="R31" s="72" t="str">
        <f t="shared" si="6"/>
        <v/>
      </c>
      <c r="S31" s="72" t="str">
        <f t="shared" si="7"/>
        <v/>
      </c>
      <c r="T31" s="97"/>
      <c r="U31" s="1"/>
    </row>
    <row r="32" spans="1:21" x14ac:dyDescent="0.25">
      <c r="A32" s="7"/>
      <c r="B32" s="7"/>
      <c r="C32" s="7"/>
      <c r="D32" s="7"/>
      <c r="E32" s="70" t="s">
        <v>74</v>
      </c>
      <c r="F32" s="49"/>
      <c r="G32" s="7"/>
      <c r="H32" s="50"/>
      <c r="J32" s="95"/>
      <c r="K32" s="7"/>
      <c r="L32" s="72" t="str">
        <f>IF(B32="","",(AVERAGE(L28:L31)))</f>
        <v/>
      </c>
      <c r="M32" s="7"/>
      <c r="N32" s="7"/>
      <c r="O32" s="7"/>
      <c r="P32" s="7"/>
      <c r="Q32" s="72" t="str">
        <f>IF(K32="","",SUM(K32:P32))</f>
        <v/>
      </c>
      <c r="R32" s="72" t="str">
        <f>IF(Q32="","",(1100-(Q32*50)))</f>
        <v/>
      </c>
      <c r="S32" s="72"/>
      <c r="T32" s="98"/>
      <c r="U32" s="1"/>
    </row>
    <row r="33" spans="1:21" ht="15" customHeight="1" x14ac:dyDescent="0.25">
      <c r="A33" s="1"/>
      <c r="B33" s="1"/>
      <c r="C33" s="1"/>
      <c r="D33" s="1"/>
      <c r="E33" s="1"/>
      <c r="F33" s="1"/>
      <c r="G33" s="1"/>
      <c r="H33" s="1"/>
      <c r="I33" s="1"/>
      <c r="J33" s="1"/>
      <c r="K33" s="1"/>
      <c r="L33" s="1"/>
      <c r="M33" s="1"/>
      <c r="N33" s="1"/>
      <c r="O33" s="1"/>
      <c r="P33" s="1"/>
      <c r="Q33" s="1"/>
      <c r="R33" s="1"/>
      <c r="S33" s="1"/>
      <c r="T33" s="61"/>
      <c r="U33" s="1"/>
    </row>
    <row r="34" spans="1:21" x14ac:dyDescent="0.25">
      <c r="A34" s="7"/>
      <c r="B34" s="45" t="s">
        <v>53</v>
      </c>
      <c r="C34" s="85"/>
      <c r="D34" s="86"/>
      <c r="E34" s="86"/>
      <c r="F34" s="86"/>
      <c r="G34" s="86"/>
      <c r="H34" s="87"/>
      <c r="J34" s="88" t="s">
        <v>54</v>
      </c>
      <c r="K34" s="89"/>
      <c r="L34" s="89"/>
      <c r="M34" s="89"/>
      <c r="N34" s="89"/>
      <c r="O34" s="89"/>
      <c r="P34" s="89"/>
      <c r="Q34" s="89"/>
      <c r="R34" s="89"/>
      <c r="S34" s="89"/>
      <c r="T34" s="90"/>
      <c r="U34" s="1"/>
    </row>
    <row r="35" spans="1:21" ht="30" x14ac:dyDescent="0.25">
      <c r="A35" s="41" t="s">
        <v>55</v>
      </c>
      <c r="B35" s="91" t="s">
        <v>56</v>
      </c>
      <c r="C35" s="92"/>
      <c r="D35" s="41" t="s">
        <v>57</v>
      </c>
      <c r="E35" s="41" t="s">
        <v>58</v>
      </c>
      <c r="F35" s="41" t="s">
        <v>59</v>
      </c>
      <c r="G35" s="41" t="s">
        <v>60</v>
      </c>
      <c r="H35" s="41" t="s">
        <v>61</v>
      </c>
      <c r="I35" s="8"/>
      <c r="J35" s="41" t="s">
        <v>62</v>
      </c>
      <c r="K35" s="41" t="s">
        <v>63</v>
      </c>
      <c r="L35" s="41" t="s">
        <v>64</v>
      </c>
      <c r="M35" s="41" t="s">
        <v>65</v>
      </c>
      <c r="N35" s="41" t="s">
        <v>66</v>
      </c>
      <c r="O35" s="41" t="s">
        <v>67</v>
      </c>
      <c r="P35" s="41" t="s">
        <v>68</v>
      </c>
      <c r="Q35" s="41" t="s">
        <v>69</v>
      </c>
      <c r="R35" s="41" t="s">
        <v>70</v>
      </c>
      <c r="S35" s="41" t="s">
        <v>71</v>
      </c>
      <c r="T35" s="62" t="s">
        <v>72</v>
      </c>
      <c r="U35" s="1"/>
    </row>
    <row r="36" spans="1:21" x14ac:dyDescent="0.25">
      <c r="A36" s="7"/>
      <c r="B36" s="7"/>
      <c r="C36" s="7"/>
      <c r="D36" s="7"/>
      <c r="E36" s="7"/>
      <c r="F36" s="7"/>
      <c r="G36" s="7"/>
      <c r="H36" s="7"/>
      <c r="J36" s="93" t="s">
        <v>73</v>
      </c>
      <c r="K36" s="7"/>
      <c r="L36" s="7"/>
      <c r="M36" s="7"/>
      <c r="N36" s="7"/>
      <c r="O36" s="7"/>
      <c r="P36" s="7"/>
      <c r="Q36" s="72" t="str">
        <f>IF(K36="","",SUM(K36:P36))</f>
        <v/>
      </c>
      <c r="R36" s="72" t="str">
        <f>IF(Q36="","",(1100-(Q36*50)))</f>
        <v/>
      </c>
      <c r="S36" s="72" t="str">
        <f>IF(Q36="","",IF($Q$40="",(1100-(Q36*50)),(1100-((($Q$40/COUNTA($A$36:$A$39))+Q36)*50))))</f>
        <v/>
      </c>
      <c r="T36" s="96">
        <f>IF(B40="",SUM(R36:R39),SUM(S36:S39))</f>
        <v>0</v>
      </c>
      <c r="U36" s="1"/>
    </row>
    <row r="37" spans="1:21" x14ac:dyDescent="0.25">
      <c r="A37" s="7"/>
      <c r="B37" s="7"/>
      <c r="C37" s="7"/>
      <c r="D37" s="7"/>
      <c r="E37" s="7"/>
      <c r="F37" s="7"/>
      <c r="G37" s="7"/>
      <c r="H37" s="7"/>
      <c r="J37" s="94"/>
      <c r="K37" s="7"/>
      <c r="L37" s="7"/>
      <c r="M37" s="7"/>
      <c r="N37" s="7"/>
      <c r="O37" s="7"/>
      <c r="P37" s="7"/>
      <c r="Q37" s="72" t="str">
        <f>IF(K37="","",SUM(K37:P37))</f>
        <v/>
      </c>
      <c r="R37" s="72" t="str">
        <f t="shared" ref="R37:R39" si="8">IF(Q37="","",(1100-(Q37*50)))</f>
        <v/>
      </c>
      <c r="S37" s="72" t="str">
        <f t="shared" ref="S37:S39" si="9">IF(Q37="","",IF($Q$40="",(1100-(Q37*50)),(1100-((($Q$40/COUNTA($A$36:$A$39))+Q37)*50))))</f>
        <v/>
      </c>
      <c r="T37" s="97"/>
      <c r="U37" s="1"/>
    </row>
    <row r="38" spans="1:21" x14ac:dyDescent="0.25">
      <c r="A38" s="7"/>
      <c r="B38" s="7"/>
      <c r="C38" s="7"/>
      <c r="D38" s="7"/>
      <c r="E38" s="7"/>
      <c r="F38" s="7"/>
      <c r="G38" s="7"/>
      <c r="H38" s="7"/>
      <c r="J38" s="94"/>
      <c r="K38" s="7"/>
      <c r="L38" s="7"/>
      <c r="M38" s="7"/>
      <c r="N38" s="7"/>
      <c r="O38" s="7"/>
      <c r="P38" s="7"/>
      <c r="Q38" s="72" t="str">
        <f>IF(K38="","",SUM(K38:P38))</f>
        <v/>
      </c>
      <c r="R38" s="72" t="str">
        <f t="shared" si="8"/>
        <v/>
      </c>
      <c r="S38" s="72" t="str">
        <f t="shared" si="9"/>
        <v/>
      </c>
      <c r="T38" s="97"/>
      <c r="U38" s="1"/>
    </row>
    <row r="39" spans="1:21" x14ac:dyDescent="0.25">
      <c r="A39" s="7"/>
      <c r="B39" s="7"/>
      <c r="C39" s="7"/>
      <c r="D39" s="7"/>
      <c r="E39" s="7"/>
      <c r="F39" s="7"/>
      <c r="G39" s="7"/>
      <c r="H39" s="7"/>
      <c r="J39" s="94"/>
      <c r="K39" s="7"/>
      <c r="L39" s="7"/>
      <c r="M39" s="7"/>
      <c r="N39" s="7"/>
      <c r="O39" s="7"/>
      <c r="P39" s="7"/>
      <c r="Q39" s="72" t="str">
        <f>IF(K39="","",SUM(K39:P39))</f>
        <v/>
      </c>
      <c r="R39" s="72" t="str">
        <f t="shared" si="8"/>
        <v/>
      </c>
      <c r="S39" s="72" t="str">
        <f t="shared" si="9"/>
        <v/>
      </c>
      <c r="T39" s="97"/>
      <c r="U39" s="1"/>
    </row>
    <row r="40" spans="1:21" x14ac:dyDescent="0.25">
      <c r="A40" s="7"/>
      <c r="B40" s="7"/>
      <c r="C40" s="7"/>
      <c r="D40" s="7"/>
      <c r="E40" s="70" t="s">
        <v>74</v>
      </c>
      <c r="F40" s="49"/>
      <c r="G40" s="7"/>
      <c r="H40" s="50"/>
      <c r="J40" s="95"/>
      <c r="K40" s="7"/>
      <c r="L40" s="72" t="str">
        <f>IF(B40="","",(AVERAGE(L36:L39)))</f>
        <v/>
      </c>
      <c r="M40" s="7"/>
      <c r="N40" s="7"/>
      <c r="O40" s="7"/>
      <c r="P40" s="7"/>
      <c r="Q40" s="72" t="str">
        <f>IF(K40="","",SUM(K40:P40))</f>
        <v/>
      </c>
      <c r="R40" s="72" t="str">
        <f>IF(Q40="","",(1100-(Q40*50)))</f>
        <v/>
      </c>
      <c r="S40" s="72"/>
      <c r="T40" s="98"/>
      <c r="U40" s="1"/>
    </row>
    <row r="41" spans="1:21" x14ac:dyDescent="0.25">
      <c r="A41" s="1"/>
      <c r="B41" s="1"/>
      <c r="C41" s="1"/>
      <c r="D41" s="1"/>
      <c r="E41" s="1"/>
      <c r="F41" s="1"/>
      <c r="G41" s="1"/>
      <c r="H41" s="1"/>
      <c r="I41" s="1"/>
      <c r="J41" s="1"/>
      <c r="K41" s="1"/>
      <c r="L41" s="1"/>
      <c r="M41" s="1"/>
      <c r="N41" s="1"/>
      <c r="O41" s="1"/>
      <c r="P41" s="1"/>
      <c r="Q41" s="1"/>
      <c r="R41" s="1"/>
      <c r="S41" s="1"/>
      <c r="T41" s="61"/>
      <c r="U41" s="1"/>
    </row>
    <row r="42" spans="1:21" x14ac:dyDescent="0.25">
      <c r="A42" s="7"/>
      <c r="B42" s="45" t="s">
        <v>53</v>
      </c>
      <c r="C42" s="85"/>
      <c r="D42" s="86"/>
      <c r="E42" s="86"/>
      <c r="F42" s="86"/>
      <c r="G42" s="86"/>
      <c r="H42" s="87"/>
      <c r="J42" s="88" t="s">
        <v>54</v>
      </c>
      <c r="K42" s="89"/>
      <c r="L42" s="89"/>
      <c r="M42" s="89"/>
      <c r="N42" s="89"/>
      <c r="O42" s="89"/>
      <c r="P42" s="89"/>
      <c r="Q42" s="89"/>
      <c r="R42" s="89"/>
      <c r="S42" s="89"/>
      <c r="T42" s="90"/>
      <c r="U42" s="1"/>
    </row>
    <row r="43" spans="1:21" ht="30" x14ac:dyDescent="0.25">
      <c r="A43" s="41" t="s">
        <v>55</v>
      </c>
      <c r="B43" s="91" t="s">
        <v>56</v>
      </c>
      <c r="C43" s="92"/>
      <c r="D43" s="41" t="s">
        <v>57</v>
      </c>
      <c r="E43" s="41" t="s">
        <v>58</v>
      </c>
      <c r="F43" s="41" t="s">
        <v>59</v>
      </c>
      <c r="G43" s="41" t="s">
        <v>60</v>
      </c>
      <c r="H43" s="41" t="s">
        <v>61</v>
      </c>
      <c r="I43" s="8"/>
      <c r="J43" s="41" t="s">
        <v>62</v>
      </c>
      <c r="K43" s="41" t="s">
        <v>63</v>
      </c>
      <c r="L43" s="41" t="s">
        <v>64</v>
      </c>
      <c r="M43" s="41" t="s">
        <v>65</v>
      </c>
      <c r="N43" s="41" t="s">
        <v>66</v>
      </c>
      <c r="O43" s="41" t="s">
        <v>67</v>
      </c>
      <c r="P43" s="41" t="s">
        <v>68</v>
      </c>
      <c r="Q43" s="41" t="s">
        <v>69</v>
      </c>
      <c r="R43" s="41" t="s">
        <v>70</v>
      </c>
      <c r="S43" s="41" t="s">
        <v>71</v>
      </c>
      <c r="T43" s="62" t="s">
        <v>72</v>
      </c>
      <c r="U43" s="1"/>
    </row>
    <row r="44" spans="1:21" x14ac:dyDescent="0.25">
      <c r="A44" s="7"/>
      <c r="B44" s="7"/>
      <c r="C44" s="7"/>
      <c r="D44" s="7"/>
      <c r="E44" s="7"/>
      <c r="F44" s="7"/>
      <c r="G44" s="7"/>
      <c r="H44" s="7"/>
      <c r="J44" s="93" t="s">
        <v>73</v>
      </c>
      <c r="K44" s="7"/>
      <c r="L44" s="7"/>
      <c r="M44" s="7"/>
      <c r="N44" s="7"/>
      <c r="O44" s="7"/>
      <c r="P44" s="7"/>
      <c r="Q44" s="72" t="str">
        <f>IF(K44="","",SUM(K44:P44))</f>
        <v/>
      </c>
      <c r="R44" s="72" t="str">
        <f>IF(Q44="","",(1100-(Q44*50)))</f>
        <v/>
      </c>
      <c r="S44" s="72" t="str">
        <f>IF(Q44="","",IF($Q$48="",(1100-(Q44*50)),(1100-((($Q$48/COUNTA($A$44:$A$47))+Q44)*50))))</f>
        <v/>
      </c>
      <c r="T44" s="96">
        <f>IF(B48="",SUM(R44:R47),SUM(S44:S47))</f>
        <v>0</v>
      </c>
      <c r="U44" s="1"/>
    </row>
    <row r="45" spans="1:21" x14ac:dyDescent="0.25">
      <c r="A45" s="7"/>
      <c r="B45" s="7"/>
      <c r="C45" s="7"/>
      <c r="D45" s="7"/>
      <c r="E45" s="7"/>
      <c r="F45" s="7"/>
      <c r="G45" s="7"/>
      <c r="H45" s="7"/>
      <c r="J45" s="94"/>
      <c r="K45" s="7"/>
      <c r="L45" s="7"/>
      <c r="M45" s="7"/>
      <c r="N45" s="7"/>
      <c r="O45" s="7"/>
      <c r="P45" s="7"/>
      <c r="Q45" s="72" t="str">
        <f>IF(K45="","",SUM(K45:P45))</f>
        <v/>
      </c>
      <c r="R45" s="72" t="str">
        <f t="shared" ref="R45:R47" si="10">IF(Q45="","",(1100-(Q45*50)))</f>
        <v/>
      </c>
      <c r="S45" s="72" t="str">
        <f t="shared" ref="S45:S47" si="11">IF(Q45="","",IF($Q$48="",(1100-(Q45*50)),(1100-((($Q$48/COUNTA($A$44:$A$47))+Q45)*50))))</f>
        <v/>
      </c>
      <c r="T45" s="97"/>
      <c r="U45" s="1"/>
    </row>
    <row r="46" spans="1:21" x14ac:dyDescent="0.25">
      <c r="A46" s="7"/>
      <c r="B46" s="7"/>
      <c r="C46" s="7"/>
      <c r="D46" s="7"/>
      <c r="E46" s="7"/>
      <c r="F46" s="7"/>
      <c r="G46" s="7"/>
      <c r="H46" s="7"/>
      <c r="J46" s="94"/>
      <c r="K46" s="7"/>
      <c r="L46" s="7"/>
      <c r="M46" s="7"/>
      <c r="N46" s="7"/>
      <c r="O46" s="7"/>
      <c r="P46" s="7"/>
      <c r="Q46" s="72" t="str">
        <f>IF(K46="","",SUM(K46:P46))</f>
        <v/>
      </c>
      <c r="R46" s="72" t="str">
        <f t="shared" si="10"/>
        <v/>
      </c>
      <c r="S46" s="72" t="str">
        <f t="shared" si="11"/>
        <v/>
      </c>
      <c r="T46" s="97"/>
      <c r="U46" s="1"/>
    </row>
    <row r="47" spans="1:21" x14ac:dyDescent="0.25">
      <c r="A47" s="7"/>
      <c r="B47" s="7"/>
      <c r="C47" s="7"/>
      <c r="D47" s="7"/>
      <c r="E47" s="7"/>
      <c r="F47" s="7"/>
      <c r="G47" s="7"/>
      <c r="H47" s="7"/>
      <c r="J47" s="94"/>
      <c r="K47" s="7"/>
      <c r="L47" s="7"/>
      <c r="M47" s="7"/>
      <c r="N47" s="7"/>
      <c r="O47" s="7"/>
      <c r="P47" s="7"/>
      <c r="Q47" s="72" t="str">
        <f>IF(K47="","",SUM(K47:P47))</f>
        <v/>
      </c>
      <c r="R47" s="72" t="str">
        <f t="shared" si="10"/>
        <v/>
      </c>
      <c r="S47" s="72" t="str">
        <f t="shared" si="11"/>
        <v/>
      </c>
      <c r="T47" s="97"/>
      <c r="U47" s="1"/>
    </row>
    <row r="48" spans="1:21" x14ac:dyDescent="0.25">
      <c r="A48" s="7"/>
      <c r="B48" s="7"/>
      <c r="C48" s="7"/>
      <c r="D48" s="7"/>
      <c r="E48" s="70" t="s">
        <v>74</v>
      </c>
      <c r="F48" s="49"/>
      <c r="G48" s="7"/>
      <c r="H48" s="50"/>
      <c r="J48" s="95"/>
      <c r="K48" s="7"/>
      <c r="L48" s="72" t="str">
        <f>IF(B48="","",(AVERAGE(L44:L47)))</f>
        <v/>
      </c>
      <c r="M48" s="7"/>
      <c r="N48" s="7"/>
      <c r="O48" s="7"/>
      <c r="P48" s="7"/>
      <c r="Q48" s="72" t="str">
        <f>IF(K48="","",SUM(K48:P48))</f>
        <v/>
      </c>
      <c r="R48" s="72" t="str">
        <f>IF(Q48="","",(1100-(Q48*50)))</f>
        <v/>
      </c>
      <c r="S48" s="72"/>
      <c r="T48" s="98"/>
      <c r="U48" s="1"/>
    </row>
    <row r="49" spans="1:21" x14ac:dyDescent="0.25">
      <c r="A49" s="1"/>
      <c r="B49" s="1"/>
      <c r="C49" s="1"/>
      <c r="D49" s="1"/>
      <c r="E49" s="1"/>
      <c r="F49" s="1"/>
      <c r="G49" s="1"/>
      <c r="H49" s="1"/>
      <c r="I49" s="1"/>
      <c r="J49" s="1"/>
      <c r="K49" s="1"/>
      <c r="L49" s="1"/>
      <c r="M49" s="1"/>
      <c r="N49" s="1"/>
      <c r="O49" s="1"/>
      <c r="P49" s="1"/>
      <c r="Q49" s="1"/>
      <c r="R49" s="1"/>
      <c r="S49" s="1"/>
      <c r="T49" s="61"/>
      <c r="U49" s="1"/>
    </row>
    <row r="50" spans="1:21" x14ac:dyDescent="0.25">
      <c r="A50" s="7"/>
      <c r="B50" s="45" t="s">
        <v>53</v>
      </c>
      <c r="C50" s="85"/>
      <c r="D50" s="86"/>
      <c r="E50" s="86"/>
      <c r="F50" s="86"/>
      <c r="G50" s="86"/>
      <c r="H50" s="87"/>
      <c r="J50" s="88" t="s">
        <v>54</v>
      </c>
      <c r="K50" s="89"/>
      <c r="L50" s="89"/>
      <c r="M50" s="89"/>
      <c r="N50" s="89"/>
      <c r="O50" s="89"/>
      <c r="P50" s="89"/>
      <c r="Q50" s="89"/>
      <c r="R50" s="89"/>
      <c r="S50" s="89"/>
      <c r="T50" s="90"/>
      <c r="U50" s="1"/>
    </row>
    <row r="51" spans="1:21" ht="30" x14ac:dyDescent="0.25">
      <c r="A51" s="41" t="s">
        <v>55</v>
      </c>
      <c r="B51" s="91" t="s">
        <v>56</v>
      </c>
      <c r="C51" s="92"/>
      <c r="D51" s="41" t="s">
        <v>57</v>
      </c>
      <c r="E51" s="41" t="s">
        <v>58</v>
      </c>
      <c r="F51" s="41" t="s">
        <v>59</v>
      </c>
      <c r="G51" s="41" t="s">
        <v>60</v>
      </c>
      <c r="H51" s="41" t="s">
        <v>61</v>
      </c>
      <c r="I51" s="8"/>
      <c r="J51" s="41" t="s">
        <v>62</v>
      </c>
      <c r="K51" s="41" t="s">
        <v>63</v>
      </c>
      <c r="L51" s="41" t="s">
        <v>64</v>
      </c>
      <c r="M51" s="41" t="s">
        <v>65</v>
      </c>
      <c r="N51" s="41" t="s">
        <v>66</v>
      </c>
      <c r="O51" s="41" t="s">
        <v>67</v>
      </c>
      <c r="P51" s="41" t="s">
        <v>68</v>
      </c>
      <c r="Q51" s="41" t="s">
        <v>69</v>
      </c>
      <c r="R51" s="41" t="s">
        <v>70</v>
      </c>
      <c r="S51" s="41" t="s">
        <v>71</v>
      </c>
      <c r="T51" s="62" t="s">
        <v>72</v>
      </c>
      <c r="U51" s="1"/>
    </row>
    <row r="52" spans="1:21" x14ac:dyDescent="0.25">
      <c r="A52" s="7"/>
      <c r="B52" s="7"/>
      <c r="C52" s="7"/>
      <c r="D52" s="7"/>
      <c r="E52" s="7"/>
      <c r="F52" s="7"/>
      <c r="G52" s="7"/>
      <c r="H52" s="7"/>
      <c r="J52" s="93" t="s">
        <v>73</v>
      </c>
      <c r="K52" s="7"/>
      <c r="L52" s="7"/>
      <c r="M52" s="7"/>
      <c r="N52" s="7"/>
      <c r="O52" s="7"/>
      <c r="P52" s="7"/>
      <c r="Q52" s="72" t="str">
        <f>IF(K52="","",SUM(K52:P52))</f>
        <v/>
      </c>
      <c r="R52" s="72" t="str">
        <f>IF(Q52="","",(1100-(Q52*50)))</f>
        <v/>
      </c>
      <c r="S52" s="72" t="str">
        <f>IF(Q52="","",IF($Q$56="",(1100-(Q52*50)),(1100-((($Q$56/COUNTA($A$52:$A$55))+Q52)*50))))</f>
        <v/>
      </c>
      <c r="T52" s="96">
        <f>IF(B56="",SUM(R52:R55),SUM(S52:S55))</f>
        <v>0</v>
      </c>
      <c r="U52" s="1"/>
    </row>
    <row r="53" spans="1:21" x14ac:dyDescent="0.25">
      <c r="A53" s="7"/>
      <c r="B53" s="7"/>
      <c r="C53" s="7"/>
      <c r="D53" s="7"/>
      <c r="E53" s="7"/>
      <c r="F53" s="7"/>
      <c r="G53" s="7"/>
      <c r="H53" s="7"/>
      <c r="J53" s="94"/>
      <c r="K53" s="7"/>
      <c r="L53" s="7"/>
      <c r="M53" s="7"/>
      <c r="N53" s="7"/>
      <c r="O53" s="7"/>
      <c r="P53" s="7"/>
      <c r="Q53" s="72" t="str">
        <f>IF(K53="","",SUM(K53:P53))</f>
        <v/>
      </c>
      <c r="R53" s="72" t="str">
        <f t="shared" ref="R53:R55" si="12">IF(Q53="","",(1100-(Q53*50)))</f>
        <v/>
      </c>
      <c r="S53" s="72" t="str">
        <f t="shared" ref="S53:S55" si="13">IF(Q53="","",IF($Q$56="",(1100-(Q53*50)),(1100-((($Q$56/COUNTA($A$52:$A$55))+Q53)*50))))</f>
        <v/>
      </c>
      <c r="T53" s="97"/>
      <c r="U53" s="1"/>
    </row>
    <row r="54" spans="1:21" x14ac:dyDescent="0.25">
      <c r="A54" s="7"/>
      <c r="B54" s="7"/>
      <c r="C54" s="7"/>
      <c r="D54" s="7"/>
      <c r="E54" s="7"/>
      <c r="F54" s="7"/>
      <c r="G54" s="7"/>
      <c r="H54" s="7"/>
      <c r="J54" s="94"/>
      <c r="K54" s="7"/>
      <c r="L54" s="7"/>
      <c r="M54" s="7"/>
      <c r="N54" s="7"/>
      <c r="O54" s="7"/>
      <c r="P54" s="7"/>
      <c r="Q54" s="72" t="str">
        <f>IF(K54="","",SUM(K54:P54))</f>
        <v/>
      </c>
      <c r="R54" s="72" t="str">
        <f t="shared" si="12"/>
        <v/>
      </c>
      <c r="S54" s="72" t="str">
        <f t="shared" si="13"/>
        <v/>
      </c>
      <c r="T54" s="97"/>
      <c r="U54" s="1"/>
    </row>
    <row r="55" spans="1:21" x14ac:dyDescent="0.25">
      <c r="A55" s="7"/>
      <c r="B55" s="7"/>
      <c r="C55" s="7"/>
      <c r="D55" s="7"/>
      <c r="E55" s="7"/>
      <c r="F55" s="7"/>
      <c r="G55" s="7"/>
      <c r="H55" s="7"/>
      <c r="J55" s="94"/>
      <c r="K55" s="7"/>
      <c r="L55" s="7"/>
      <c r="M55" s="7"/>
      <c r="N55" s="7"/>
      <c r="O55" s="7"/>
      <c r="P55" s="7"/>
      <c r="Q55" s="72" t="str">
        <f>IF(K55="","",SUM(K55:P55))</f>
        <v/>
      </c>
      <c r="R55" s="72" t="str">
        <f t="shared" si="12"/>
        <v/>
      </c>
      <c r="S55" s="72" t="str">
        <f t="shared" si="13"/>
        <v/>
      </c>
      <c r="T55" s="97"/>
      <c r="U55" s="1"/>
    </row>
    <row r="56" spans="1:21" x14ac:dyDescent="0.25">
      <c r="A56" s="7"/>
      <c r="B56" s="7"/>
      <c r="C56" s="7"/>
      <c r="D56" s="7"/>
      <c r="E56" s="70" t="s">
        <v>74</v>
      </c>
      <c r="F56" s="49"/>
      <c r="G56" s="7"/>
      <c r="H56" s="50"/>
      <c r="J56" s="95"/>
      <c r="K56" s="7"/>
      <c r="L56" s="72" t="str">
        <f>IF(B56="","",(AVERAGE(L52:L55)))</f>
        <v/>
      </c>
      <c r="M56" s="7"/>
      <c r="N56" s="7"/>
      <c r="O56" s="7"/>
      <c r="P56" s="7"/>
      <c r="Q56" s="72" t="str">
        <f>IF(K56="","",SUM(K56:P56))</f>
        <v/>
      </c>
      <c r="R56" s="72" t="str">
        <f>IF(Q56="","",(1100-(Q56*50)))</f>
        <v/>
      </c>
      <c r="S56" s="72"/>
      <c r="T56" s="98"/>
      <c r="U56" s="1"/>
    </row>
    <row r="57" spans="1:21" x14ac:dyDescent="0.25">
      <c r="A57" s="1"/>
      <c r="B57" s="1"/>
      <c r="C57" s="1"/>
      <c r="D57" s="1"/>
      <c r="E57" s="1"/>
      <c r="F57" s="1"/>
      <c r="G57" s="1"/>
      <c r="H57" s="1"/>
      <c r="I57" s="1"/>
      <c r="J57" s="1"/>
      <c r="K57" s="1"/>
      <c r="L57" s="1"/>
      <c r="M57" s="1"/>
      <c r="N57" s="1"/>
      <c r="O57" s="1"/>
      <c r="P57" s="1"/>
      <c r="Q57" s="1"/>
      <c r="R57" s="1"/>
      <c r="S57" s="1"/>
      <c r="T57" s="61"/>
      <c r="U57" s="1"/>
    </row>
    <row r="58" spans="1:21" x14ac:dyDescent="0.25">
      <c r="A58" s="7"/>
      <c r="B58" s="45" t="s">
        <v>53</v>
      </c>
      <c r="C58" s="85"/>
      <c r="D58" s="86"/>
      <c r="E58" s="86"/>
      <c r="F58" s="86"/>
      <c r="G58" s="86"/>
      <c r="H58" s="87"/>
      <c r="J58" s="88" t="s">
        <v>54</v>
      </c>
      <c r="K58" s="89"/>
      <c r="L58" s="89"/>
      <c r="M58" s="89"/>
      <c r="N58" s="89"/>
      <c r="O58" s="89"/>
      <c r="P58" s="89"/>
      <c r="Q58" s="89"/>
      <c r="R58" s="89"/>
      <c r="S58" s="89"/>
      <c r="T58" s="90"/>
      <c r="U58" s="1"/>
    </row>
    <row r="59" spans="1:21" ht="30" x14ac:dyDescent="0.25">
      <c r="A59" s="41" t="s">
        <v>55</v>
      </c>
      <c r="B59" s="91" t="s">
        <v>56</v>
      </c>
      <c r="C59" s="92"/>
      <c r="D59" s="41" t="s">
        <v>57</v>
      </c>
      <c r="E59" s="41" t="s">
        <v>58</v>
      </c>
      <c r="F59" s="41" t="s">
        <v>59</v>
      </c>
      <c r="G59" s="41" t="s">
        <v>60</v>
      </c>
      <c r="H59" s="41" t="s">
        <v>61</v>
      </c>
      <c r="I59" s="8"/>
      <c r="J59" s="41" t="s">
        <v>62</v>
      </c>
      <c r="K59" s="41" t="s">
        <v>63</v>
      </c>
      <c r="L59" s="41" t="s">
        <v>64</v>
      </c>
      <c r="M59" s="41" t="s">
        <v>65</v>
      </c>
      <c r="N59" s="41" t="s">
        <v>66</v>
      </c>
      <c r="O59" s="41" t="s">
        <v>67</v>
      </c>
      <c r="P59" s="41" t="s">
        <v>68</v>
      </c>
      <c r="Q59" s="41" t="s">
        <v>69</v>
      </c>
      <c r="R59" s="41" t="s">
        <v>70</v>
      </c>
      <c r="S59" s="41" t="s">
        <v>71</v>
      </c>
      <c r="T59" s="62" t="s">
        <v>72</v>
      </c>
      <c r="U59" s="1"/>
    </row>
    <row r="60" spans="1:21" x14ac:dyDescent="0.25">
      <c r="A60" s="7"/>
      <c r="B60" s="7"/>
      <c r="C60" s="7"/>
      <c r="D60" s="7"/>
      <c r="E60" s="7"/>
      <c r="F60" s="7"/>
      <c r="G60" s="7"/>
      <c r="H60" s="7"/>
      <c r="J60" s="93" t="s">
        <v>73</v>
      </c>
      <c r="K60" s="7"/>
      <c r="L60" s="7"/>
      <c r="M60" s="7"/>
      <c r="N60" s="7"/>
      <c r="O60" s="7"/>
      <c r="P60" s="7"/>
      <c r="Q60" s="72" t="str">
        <f>IF(K60="","",SUM(K60:P60))</f>
        <v/>
      </c>
      <c r="R60" s="72" t="str">
        <f>IF(Q60="","",(1100-(Q60*50)))</f>
        <v/>
      </c>
      <c r="S60" s="72" t="str">
        <f>IF(Q60="","",IF($Q$64="",(1100-(Q60*50)),(1100-((($Q$64/COUNTA($A$60:$A$63))+Q60)*50))))</f>
        <v/>
      </c>
      <c r="T60" s="96">
        <f>IF(B64="",SUM(R60:R63),SUM(S60:S63))</f>
        <v>0</v>
      </c>
      <c r="U60" s="1"/>
    </row>
    <row r="61" spans="1:21" x14ac:dyDescent="0.25">
      <c r="A61" s="7"/>
      <c r="B61" s="7"/>
      <c r="C61" s="7"/>
      <c r="D61" s="7"/>
      <c r="E61" s="7"/>
      <c r="F61" s="7"/>
      <c r="G61" s="7"/>
      <c r="H61" s="7"/>
      <c r="J61" s="94"/>
      <c r="K61" s="7"/>
      <c r="L61" s="7"/>
      <c r="M61" s="7"/>
      <c r="N61" s="7"/>
      <c r="O61" s="7"/>
      <c r="P61" s="7"/>
      <c r="Q61" s="72" t="str">
        <f>IF(K61="","",SUM(K61:P61))</f>
        <v/>
      </c>
      <c r="R61" s="72" t="str">
        <f t="shared" ref="R61:R63" si="14">IF(Q61="","",(1100-(Q61*50)))</f>
        <v/>
      </c>
      <c r="S61" s="72" t="str">
        <f t="shared" ref="S61:S63" si="15">IF(Q61="","",IF($Q$64="",(1100-(Q61*50)),(1100-((($Q$64/COUNTA($A$60:$A$63))+Q61)*50))))</f>
        <v/>
      </c>
      <c r="T61" s="97"/>
      <c r="U61" s="1"/>
    </row>
    <row r="62" spans="1:21" x14ac:dyDescent="0.25">
      <c r="A62" s="7"/>
      <c r="B62" s="7"/>
      <c r="C62" s="7"/>
      <c r="D62" s="7"/>
      <c r="E62" s="7"/>
      <c r="F62" s="7"/>
      <c r="G62" s="7"/>
      <c r="H62" s="7"/>
      <c r="J62" s="94"/>
      <c r="K62" s="7"/>
      <c r="L62" s="7"/>
      <c r="M62" s="7"/>
      <c r="N62" s="7"/>
      <c r="O62" s="7"/>
      <c r="P62" s="7"/>
      <c r="Q62" s="72" t="str">
        <f>IF(K62="","",SUM(K62:P62))</f>
        <v/>
      </c>
      <c r="R62" s="72" t="str">
        <f t="shared" si="14"/>
        <v/>
      </c>
      <c r="S62" s="72" t="str">
        <f t="shared" si="15"/>
        <v/>
      </c>
      <c r="T62" s="97"/>
      <c r="U62" s="1"/>
    </row>
    <row r="63" spans="1:21" x14ac:dyDescent="0.25">
      <c r="A63" s="7"/>
      <c r="B63" s="7"/>
      <c r="C63" s="7"/>
      <c r="D63" s="7"/>
      <c r="E63" s="7"/>
      <c r="F63" s="7"/>
      <c r="G63" s="7"/>
      <c r="H63" s="7"/>
      <c r="J63" s="94"/>
      <c r="K63" s="7"/>
      <c r="L63" s="7"/>
      <c r="M63" s="7"/>
      <c r="N63" s="7"/>
      <c r="O63" s="7"/>
      <c r="P63" s="7"/>
      <c r="Q63" s="72" t="str">
        <f>IF(K63="","",SUM(K63:P63))</f>
        <v/>
      </c>
      <c r="R63" s="72" t="str">
        <f t="shared" si="14"/>
        <v/>
      </c>
      <c r="S63" s="72" t="str">
        <f t="shared" si="15"/>
        <v/>
      </c>
      <c r="T63" s="97"/>
      <c r="U63" s="1"/>
    </row>
    <row r="64" spans="1:21" x14ac:dyDescent="0.25">
      <c r="A64" s="7"/>
      <c r="B64" s="7"/>
      <c r="C64" s="7"/>
      <c r="D64" s="7"/>
      <c r="E64" s="70" t="s">
        <v>74</v>
      </c>
      <c r="F64" s="49"/>
      <c r="G64" s="7"/>
      <c r="H64" s="50"/>
      <c r="J64" s="95"/>
      <c r="K64" s="7"/>
      <c r="L64" s="72" t="str">
        <f>IF(B64="","",(AVERAGE(L60:L63)))</f>
        <v/>
      </c>
      <c r="M64" s="7"/>
      <c r="N64" s="7"/>
      <c r="O64" s="7"/>
      <c r="P64" s="7"/>
      <c r="Q64" s="72" t="str">
        <f>IF(K64="","",SUM(K64:P64))</f>
        <v/>
      </c>
      <c r="R64" s="72" t="str">
        <f>IF(Q64="","",(1100-(Q64*50)))</f>
        <v/>
      </c>
      <c r="S64" s="72"/>
      <c r="T64" s="98"/>
      <c r="U64" s="1"/>
    </row>
    <row r="65" spans="1:21" x14ac:dyDescent="0.25">
      <c r="A65" s="1"/>
      <c r="B65" s="1"/>
      <c r="C65" s="1"/>
      <c r="D65" s="1"/>
      <c r="E65" s="1"/>
      <c r="F65" s="1"/>
      <c r="G65" s="1"/>
      <c r="H65" s="1"/>
      <c r="I65" s="1"/>
      <c r="J65" s="1"/>
      <c r="K65" s="1"/>
      <c r="L65" s="1"/>
      <c r="M65" s="1"/>
      <c r="N65" s="1"/>
      <c r="O65" s="1"/>
      <c r="P65" s="1"/>
      <c r="Q65" s="1"/>
      <c r="R65" s="1"/>
      <c r="S65" s="1"/>
      <c r="T65" s="61"/>
      <c r="U65" s="1"/>
    </row>
    <row r="66" spans="1:21" x14ac:dyDescent="0.25">
      <c r="A66" s="7"/>
      <c r="B66" s="45" t="s">
        <v>53</v>
      </c>
      <c r="C66" s="85"/>
      <c r="D66" s="86"/>
      <c r="E66" s="86"/>
      <c r="F66" s="86"/>
      <c r="G66" s="86"/>
      <c r="H66" s="87"/>
      <c r="J66" s="88" t="s">
        <v>54</v>
      </c>
      <c r="K66" s="89"/>
      <c r="L66" s="89"/>
      <c r="M66" s="89"/>
      <c r="N66" s="89"/>
      <c r="O66" s="89"/>
      <c r="P66" s="89"/>
      <c r="Q66" s="89"/>
      <c r="R66" s="89"/>
      <c r="S66" s="89"/>
      <c r="T66" s="90"/>
      <c r="U66" s="1"/>
    </row>
    <row r="67" spans="1:21" ht="30" x14ac:dyDescent="0.25">
      <c r="A67" s="41" t="s">
        <v>55</v>
      </c>
      <c r="B67" s="91" t="s">
        <v>56</v>
      </c>
      <c r="C67" s="92"/>
      <c r="D67" s="41" t="s">
        <v>57</v>
      </c>
      <c r="E67" s="41" t="s">
        <v>58</v>
      </c>
      <c r="F67" s="41" t="s">
        <v>59</v>
      </c>
      <c r="G67" s="41" t="s">
        <v>60</v>
      </c>
      <c r="H67" s="41" t="s">
        <v>61</v>
      </c>
      <c r="I67" s="8"/>
      <c r="J67" s="41" t="s">
        <v>62</v>
      </c>
      <c r="K67" s="41" t="s">
        <v>63</v>
      </c>
      <c r="L67" s="41" t="s">
        <v>64</v>
      </c>
      <c r="M67" s="41" t="s">
        <v>65</v>
      </c>
      <c r="N67" s="41" t="s">
        <v>66</v>
      </c>
      <c r="O67" s="41" t="s">
        <v>67</v>
      </c>
      <c r="P67" s="41" t="s">
        <v>68</v>
      </c>
      <c r="Q67" s="41" t="s">
        <v>69</v>
      </c>
      <c r="R67" s="41" t="s">
        <v>70</v>
      </c>
      <c r="S67" s="41" t="s">
        <v>71</v>
      </c>
      <c r="T67" s="62" t="s">
        <v>72</v>
      </c>
      <c r="U67" s="1"/>
    </row>
    <row r="68" spans="1:21" x14ac:dyDescent="0.25">
      <c r="A68" s="7"/>
      <c r="B68" s="7"/>
      <c r="C68" s="7"/>
      <c r="D68" s="7"/>
      <c r="E68" s="7"/>
      <c r="F68" s="7"/>
      <c r="G68" s="7"/>
      <c r="H68" s="7"/>
      <c r="J68" s="93" t="s">
        <v>73</v>
      </c>
      <c r="K68" s="7"/>
      <c r="L68" s="7"/>
      <c r="M68" s="7"/>
      <c r="N68" s="7"/>
      <c r="O68" s="7"/>
      <c r="P68" s="7"/>
      <c r="Q68" s="72" t="str">
        <f>IF(K68="","",SUM(K68:P68))</f>
        <v/>
      </c>
      <c r="R68" s="72" t="str">
        <f>IF(Q68="","",(1100-(Q68*50)))</f>
        <v/>
      </c>
      <c r="S68" s="72" t="str">
        <f>IF(Q68="","",IF($Q$72="",(1100-(Q68*50)),(1100-((($Q$72/COUNTA($A$68:$A$71))+Q68)*50))))</f>
        <v/>
      </c>
      <c r="T68" s="96">
        <f>IF(B72="",SUM(R68:R71),SUM(S68:S71))</f>
        <v>0</v>
      </c>
      <c r="U68" s="1"/>
    </row>
    <row r="69" spans="1:21" x14ac:dyDescent="0.25">
      <c r="A69" s="7"/>
      <c r="B69" s="7"/>
      <c r="C69" s="7"/>
      <c r="D69" s="7"/>
      <c r="E69" s="7"/>
      <c r="F69" s="7"/>
      <c r="G69" s="7"/>
      <c r="H69" s="7"/>
      <c r="J69" s="94"/>
      <c r="K69" s="7"/>
      <c r="L69" s="7"/>
      <c r="M69" s="7"/>
      <c r="N69" s="7"/>
      <c r="O69" s="7"/>
      <c r="P69" s="7"/>
      <c r="Q69" s="72" t="str">
        <f>IF(K69="","",SUM(K69:P69))</f>
        <v/>
      </c>
      <c r="R69" s="72" t="str">
        <f t="shared" ref="R69:R71" si="16">IF(Q69="","",(1100-(Q69*50)))</f>
        <v/>
      </c>
      <c r="S69" s="72" t="str">
        <f t="shared" ref="S69:S71" si="17">IF(Q69="","",IF($Q$72="",(1100-(Q69*50)),(1100-((($Q$72/COUNTA($A$68:$A$71))+Q69)*50))))</f>
        <v/>
      </c>
      <c r="T69" s="97"/>
      <c r="U69" s="1"/>
    </row>
    <row r="70" spans="1:21" x14ac:dyDescent="0.25">
      <c r="A70" s="7"/>
      <c r="B70" s="7"/>
      <c r="C70" s="7"/>
      <c r="D70" s="7"/>
      <c r="E70" s="7"/>
      <c r="F70" s="7"/>
      <c r="G70" s="7"/>
      <c r="H70" s="7"/>
      <c r="J70" s="94"/>
      <c r="K70" s="7"/>
      <c r="L70" s="7"/>
      <c r="M70" s="7"/>
      <c r="N70" s="7"/>
      <c r="O70" s="7"/>
      <c r="P70" s="7"/>
      <c r="Q70" s="72" t="str">
        <f>IF(K70="","",SUM(K70:P70))</f>
        <v/>
      </c>
      <c r="R70" s="72" t="str">
        <f t="shared" si="16"/>
        <v/>
      </c>
      <c r="S70" s="72" t="str">
        <f t="shared" si="17"/>
        <v/>
      </c>
      <c r="T70" s="97"/>
      <c r="U70" s="1"/>
    </row>
    <row r="71" spans="1:21" x14ac:dyDescent="0.25">
      <c r="A71" s="7"/>
      <c r="B71" s="7"/>
      <c r="C71" s="7"/>
      <c r="D71" s="7"/>
      <c r="E71" s="7"/>
      <c r="F71" s="7"/>
      <c r="G71" s="7"/>
      <c r="H71" s="7"/>
      <c r="J71" s="94"/>
      <c r="K71" s="7"/>
      <c r="L71" s="7"/>
      <c r="M71" s="7"/>
      <c r="N71" s="7"/>
      <c r="O71" s="7"/>
      <c r="P71" s="7"/>
      <c r="Q71" s="72" t="str">
        <f>IF(K71="","",SUM(K71:P71))</f>
        <v/>
      </c>
      <c r="R71" s="72" t="str">
        <f t="shared" si="16"/>
        <v/>
      </c>
      <c r="S71" s="72" t="str">
        <f t="shared" si="17"/>
        <v/>
      </c>
      <c r="T71" s="97"/>
      <c r="U71" s="1"/>
    </row>
    <row r="72" spans="1:21" x14ac:dyDescent="0.25">
      <c r="A72" s="7"/>
      <c r="B72" s="7"/>
      <c r="C72" s="7"/>
      <c r="D72" s="7"/>
      <c r="E72" s="70" t="s">
        <v>74</v>
      </c>
      <c r="F72" s="49"/>
      <c r="G72" s="7"/>
      <c r="H72" s="50"/>
      <c r="J72" s="95"/>
      <c r="K72" s="7"/>
      <c r="L72" s="72" t="str">
        <f>IF(B72="","",(AVERAGE(L68:L71)))</f>
        <v/>
      </c>
      <c r="M72" s="7"/>
      <c r="N72" s="7"/>
      <c r="O72" s="7"/>
      <c r="P72" s="7"/>
      <c r="Q72" s="72" t="str">
        <f>IF(K72="","",SUM(K72:P72))</f>
        <v/>
      </c>
      <c r="R72" s="72" t="str">
        <f>IF(Q72="","",(1100-(Q72*50)))</f>
        <v/>
      </c>
      <c r="S72" s="72"/>
      <c r="T72" s="98"/>
      <c r="U72" s="1"/>
    </row>
    <row r="73" spans="1:21" x14ac:dyDescent="0.25">
      <c r="A73" s="1"/>
      <c r="B73" s="1"/>
      <c r="C73" s="1"/>
      <c r="D73" s="1"/>
      <c r="E73" s="1"/>
      <c r="F73" s="1"/>
      <c r="G73" s="1"/>
      <c r="H73" s="1"/>
      <c r="I73" s="1"/>
      <c r="J73" s="1"/>
      <c r="K73" s="1"/>
      <c r="L73" s="1"/>
      <c r="M73" s="1"/>
      <c r="N73" s="1"/>
      <c r="O73" s="1"/>
      <c r="P73" s="1"/>
      <c r="Q73" s="1"/>
      <c r="R73" s="1"/>
      <c r="S73" s="1"/>
      <c r="T73" s="61"/>
      <c r="U73" s="1"/>
    </row>
    <row r="74" spans="1:21" x14ac:dyDescent="0.25">
      <c r="A74" s="7"/>
      <c r="B74" s="45" t="s">
        <v>53</v>
      </c>
      <c r="C74" s="85"/>
      <c r="D74" s="86"/>
      <c r="E74" s="86"/>
      <c r="F74" s="86"/>
      <c r="G74" s="86"/>
      <c r="H74" s="87"/>
      <c r="J74" s="88" t="s">
        <v>54</v>
      </c>
      <c r="K74" s="89"/>
      <c r="L74" s="89"/>
      <c r="M74" s="89"/>
      <c r="N74" s="89"/>
      <c r="O74" s="89"/>
      <c r="P74" s="89"/>
      <c r="Q74" s="89"/>
      <c r="R74" s="89"/>
      <c r="S74" s="89"/>
      <c r="T74" s="90"/>
      <c r="U74" s="1"/>
    </row>
    <row r="75" spans="1:21" ht="30" x14ac:dyDescent="0.25">
      <c r="A75" s="41" t="s">
        <v>55</v>
      </c>
      <c r="B75" s="91" t="s">
        <v>56</v>
      </c>
      <c r="C75" s="92"/>
      <c r="D75" s="41" t="s">
        <v>57</v>
      </c>
      <c r="E75" s="41" t="s">
        <v>58</v>
      </c>
      <c r="F75" s="41" t="s">
        <v>59</v>
      </c>
      <c r="G75" s="41" t="s">
        <v>60</v>
      </c>
      <c r="H75" s="41" t="s">
        <v>61</v>
      </c>
      <c r="I75" s="8"/>
      <c r="J75" s="41" t="s">
        <v>62</v>
      </c>
      <c r="K75" s="41" t="s">
        <v>63</v>
      </c>
      <c r="L75" s="41" t="s">
        <v>64</v>
      </c>
      <c r="M75" s="41" t="s">
        <v>65</v>
      </c>
      <c r="N75" s="41" t="s">
        <v>66</v>
      </c>
      <c r="O75" s="41" t="s">
        <v>67</v>
      </c>
      <c r="P75" s="41" t="s">
        <v>68</v>
      </c>
      <c r="Q75" s="41" t="s">
        <v>69</v>
      </c>
      <c r="R75" s="41" t="s">
        <v>70</v>
      </c>
      <c r="S75" s="41" t="s">
        <v>71</v>
      </c>
      <c r="T75" s="62" t="s">
        <v>72</v>
      </c>
      <c r="U75" s="1"/>
    </row>
    <row r="76" spans="1:21" x14ac:dyDescent="0.25">
      <c r="A76" s="7"/>
      <c r="B76" s="7"/>
      <c r="C76" s="7"/>
      <c r="D76" s="7"/>
      <c r="E76" s="7"/>
      <c r="F76" s="7"/>
      <c r="G76" s="7"/>
      <c r="H76" s="7"/>
      <c r="J76" s="93" t="s">
        <v>73</v>
      </c>
      <c r="K76" s="7"/>
      <c r="L76" s="7"/>
      <c r="M76" s="7"/>
      <c r="N76" s="7"/>
      <c r="O76" s="7"/>
      <c r="P76" s="7"/>
      <c r="Q76" s="72" t="str">
        <f>IF(K76="","",SUM(K76:P76))</f>
        <v/>
      </c>
      <c r="R76" s="72" t="str">
        <f>IF(Q76="","",(1100-(Q76*50)))</f>
        <v/>
      </c>
      <c r="S76" s="72" t="str">
        <f>IF(Q76="","",IF($Q$80="",(1100-(Q76*50)),(1100-((($Q$80/COUNTA($A$76:$A$79))+Q76)*50))))</f>
        <v/>
      </c>
      <c r="T76" s="96">
        <f>IF(B80="",SUM(R76:R79),SUM(S76:S79))</f>
        <v>0</v>
      </c>
      <c r="U76" s="1"/>
    </row>
    <row r="77" spans="1:21" x14ac:dyDescent="0.25">
      <c r="A77" s="7"/>
      <c r="B77" s="7"/>
      <c r="C77" s="7"/>
      <c r="D77" s="7"/>
      <c r="E77" s="7"/>
      <c r="F77" s="7"/>
      <c r="G77" s="7"/>
      <c r="H77" s="7"/>
      <c r="J77" s="94"/>
      <c r="K77" s="7"/>
      <c r="L77" s="7"/>
      <c r="M77" s="7"/>
      <c r="N77" s="7"/>
      <c r="O77" s="7"/>
      <c r="P77" s="7"/>
      <c r="Q77" s="72" t="str">
        <f>IF(K77="","",SUM(K77:P77))</f>
        <v/>
      </c>
      <c r="R77" s="72" t="str">
        <f t="shared" ref="R77:R79" si="18">IF(Q77="","",(1100-(Q77*50)))</f>
        <v/>
      </c>
      <c r="S77" s="72" t="str">
        <f t="shared" ref="S77:S79" si="19">IF(Q77="","",IF($Q$80="",(1100-(Q77*50)),(1100-((($Q$80/COUNTA($A$76:$A$79))+Q77)*50))))</f>
        <v/>
      </c>
      <c r="T77" s="97"/>
      <c r="U77" s="1"/>
    </row>
    <row r="78" spans="1:21" x14ac:dyDescent="0.25">
      <c r="A78" s="7"/>
      <c r="B78" s="7"/>
      <c r="C78" s="7"/>
      <c r="D78" s="7"/>
      <c r="E78" s="7"/>
      <c r="F78" s="7"/>
      <c r="G78" s="7"/>
      <c r="H78" s="7"/>
      <c r="J78" s="94"/>
      <c r="K78" s="7"/>
      <c r="L78" s="7"/>
      <c r="M78" s="7"/>
      <c r="N78" s="7"/>
      <c r="O78" s="7"/>
      <c r="P78" s="7"/>
      <c r="Q78" s="72" t="str">
        <f>IF(K78="","",SUM(K78:P78))</f>
        <v/>
      </c>
      <c r="R78" s="72" t="str">
        <f t="shared" si="18"/>
        <v/>
      </c>
      <c r="S78" s="72" t="str">
        <f t="shared" si="19"/>
        <v/>
      </c>
      <c r="T78" s="97"/>
      <c r="U78" s="1"/>
    </row>
    <row r="79" spans="1:21" x14ac:dyDescent="0.25">
      <c r="A79" s="7"/>
      <c r="B79" s="7"/>
      <c r="C79" s="7"/>
      <c r="D79" s="7"/>
      <c r="E79" s="7"/>
      <c r="F79" s="7"/>
      <c r="G79" s="7"/>
      <c r="H79" s="7"/>
      <c r="J79" s="94"/>
      <c r="K79" s="7"/>
      <c r="L79" s="7"/>
      <c r="M79" s="7"/>
      <c r="N79" s="7"/>
      <c r="O79" s="7"/>
      <c r="P79" s="7"/>
      <c r="Q79" s="72" t="str">
        <f>IF(K79="","",SUM(K79:P79))</f>
        <v/>
      </c>
      <c r="R79" s="72" t="str">
        <f t="shared" si="18"/>
        <v/>
      </c>
      <c r="S79" s="72" t="str">
        <f t="shared" si="19"/>
        <v/>
      </c>
      <c r="T79" s="97"/>
      <c r="U79" s="1"/>
    </row>
    <row r="80" spans="1:21" x14ac:dyDescent="0.25">
      <c r="A80" s="7"/>
      <c r="B80" s="7"/>
      <c r="C80" s="7"/>
      <c r="D80" s="7"/>
      <c r="E80" s="70" t="s">
        <v>74</v>
      </c>
      <c r="F80" s="49"/>
      <c r="G80" s="7"/>
      <c r="H80" s="50"/>
      <c r="J80" s="95"/>
      <c r="K80" s="7"/>
      <c r="L80" s="72" t="str">
        <f>IF(B80="","",(AVERAGE(L76:L79)))</f>
        <v/>
      </c>
      <c r="M80" s="7"/>
      <c r="N80" s="7"/>
      <c r="O80" s="7"/>
      <c r="P80" s="7"/>
      <c r="Q80" s="72" t="str">
        <f>IF(K80="","",SUM(K80:P80))</f>
        <v/>
      </c>
      <c r="R80" s="72" t="str">
        <f>IF(Q80="","",(1100-(Q80*50)))</f>
        <v/>
      </c>
      <c r="S80" s="72"/>
      <c r="T80" s="98"/>
      <c r="U80" s="1"/>
    </row>
    <row r="81" spans="1:21" x14ac:dyDescent="0.25">
      <c r="A81" s="1"/>
      <c r="B81" s="1"/>
      <c r="C81" s="1"/>
      <c r="D81" s="1"/>
      <c r="E81" s="1"/>
      <c r="F81" s="1"/>
      <c r="G81" s="1"/>
      <c r="H81" s="1"/>
      <c r="I81" s="1"/>
      <c r="J81" s="1"/>
      <c r="K81" s="1"/>
      <c r="L81" s="1"/>
      <c r="M81" s="1"/>
      <c r="N81" s="1"/>
      <c r="O81" s="1"/>
      <c r="P81" s="1"/>
      <c r="Q81" s="1"/>
      <c r="R81" s="1"/>
      <c r="S81" s="1"/>
      <c r="T81" s="61"/>
      <c r="U81" s="1"/>
    </row>
    <row r="82" spans="1:21" x14ac:dyDescent="0.25">
      <c r="A82" s="7"/>
      <c r="B82" s="45" t="s">
        <v>53</v>
      </c>
      <c r="C82" s="85"/>
      <c r="D82" s="86"/>
      <c r="E82" s="86"/>
      <c r="F82" s="86"/>
      <c r="G82" s="86"/>
      <c r="H82" s="87"/>
      <c r="J82" s="88" t="s">
        <v>54</v>
      </c>
      <c r="K82" s="89"/>
      <c r="L82" s="89"/>
      <c r="M82" s="89"/>
      <c r="N82" s="89"/>
      <c r="O82" s="89"/>
      <c r="P82" s="89"/>
      <c r="Q82" s="89"/>
      <c r="R82" s="89"/>
      <c r="S82" s="89"/>
      <c r="T82" s="90"/>
      <c r="U82" s="1"/>
    </row>
    <row r="83" spans="1:21" ht="30" x14ac:dyDescent="0.25">
      <c r="A83" s="41" t="s">
        <v>55</v>
      </c>
      <c r="B83" s="91" t="s">
        <v>56</v>
      </c>
      <c r="C83" s="92"/>
      <c r="D83" s="41" t="s">
        <v>57</v>
      </c>
      <c r="E83" s="41" t="s">
        <v>58</v>
      </c>
      <c r="F83" s="41" t="s">
        <v>59</v>
      </c>
      <c r="G83" s="41" t="s">
        <v>60</v>
      </c>
      <c r="H83" s="41" t="s">
        <v>61</v>
      </c>
      <c r="I83" s="8"/>
      <c r="J83" s="41" t="s">
        <v>62</v>
      </c>
      <c r="K83" s="41" t="s">
        <v>63</v>
      </c>
      <c r="L83" s="41" t="s">
        <v>64</v>
      </c>
      <c r="M83" s="41" t="s">
        <v>65</v>
      </c>
      <c r="N83" s="41" t="s">
        <v>66</v>
      </c>
      <c r="O83" s="41" t="s">
        <v>67</v>
      </c>
      <c r="P83" s="41" t="s">
        <v>68</v>
      </c>
      <c r="Q83" s="41" t="s">
        <v>69</v>
      </c>
      <c r="R83" s="41" t="s">
        <v>70</v>
      </c>
      <c r="S83" s="41" t="s">
        <v>71</v>
      </c>
      <c r="T83" s="62" t="s">
        <v>72</v>
      </c>
      <c r="U83" s="1"/>
    </row>
    <row r="84" spans="1:21" x14ac:dyDescent="0.25">
      <c r="A84" s="7"/>
      <c r="B84" s="7"/>
      <c r="C84" s="7"/>
      <c r="D84" s="7"/>
      <c r="E84" s="7"/>
      <c r="F84" s="7"/>
      <c r="G84" s="7"/>
      <c r="H84" s="7"/>
      <c r="J84" s="93" t="s">
        <v>73</v>
      </c>
      <c r="K84" s="7"/>
      <c r="L84" s="7"/>
      <c r="M84" s="7"/>
      <c r="N84" s="7"/>
      <c r="O84" s="7"/>
      <c r="P84" s="7"/>
      <c r="Q84" s="72" t="str">
        <f>IF(K84="","",SUM(K84:P84))</f>
        <v/>
      </c>
      <c r="R84" s="72" t="str">
        <f>IF(Q84="","",(1100-(Q84*50)))</f>
        <v/>
      </c>
      <c r="S84" s="72" t="str">
        <f>IF(Q84="","",IF($Q$88="",(1100-(Q84*50)),(1100-((($Q$88/COUNTA($A$84:$A$87))+Q84)*50))))</f>
        <v/>
      </c>
      <c r="T84" s="96">
        <f>IF(B88="",SUM(R84:R87),SUM(S84:S87))</f>
        <v>0</v>
      </c>
      <c r="U84" s="1"/>
    </row>
    <row r="85" spans="1:21" x14ac:dyDescent="0.25">
      <c r="A85" s="7"/>
      <c r="B85" s="7"/>
      <c r="C85" s="7"/>
      <c r="D85" s="7"/>
      <c r="E85" s="7"/>
      <c r="F85" s="7"/>
      <c r="G85" s="7"/>
      <c r="H85" s="7"/>
      <c r="J85" s="94"/>
      <c r="K85" s="7"/>
      <c r="L85" s="7"/>
      <c r="M85" s="7"/>
      <c r="N85" s="7"/>
      <c r="O85" s="7"/>
      <c r="P85" s="7"/>
      <c r="Q85" s="72" t="str">
        <f>IF(K85="","",SUM(K85:P85))</f>
        <v/>
      </c>
      <c r="R85" s="72" t="str">
        <f t="shared" ref="R85:R87" si="20">IF(Q85="","",(1100-(Q85*50)))</f>
        <v/>
      </c>
      <c r="S85" s="72" t="str">
        <f t="shared" ref="S85:S87" si="21">IF(Q85="","",IF($Q$88="",(1100-(Q85*50)),(1100-((($Q$88/COUNTA($A$84:$A$87))+Q85)*50))))</f>
        <v/>
      </c>
      <c r="T85" s="97"/>
      <c r="U85" s="1"/>
    </row>
    <row r="86" spans="1:21" x14ac:dyDescent="0.25">
      <c r="A86" s="7"/>
      <c r="B86" s="7"/>
      <c r="C86" s="7"/>
      <c r="D86" s="7"/>
      <c r="E86" s="7"/>
      <c r="F86" s="7"/>
      <c r="G86" s="7"/>
      <c r="H86" s="7"/>
      <c r="J86" s="94"/>
      <c r="K86" s="7"/>
      <c r="L86" s="7"/>
      <c r="M86" s="7"/>
      <c r="N86" s="7"/>
      <c r="O86" s="7"/>
      <c r="P86" s="7"/>
      <c r="Q86" s="72" t="str">
        <f>IF(K86="","",SUM(K86:P86))</f>
        <v/>
      </c>
      <c r="R86" s="72" t="str">
        <f t="shared" si="20"/>
        <v/>
      </c>
      <c r="S86" s="72" t="str">
        <f t="shared" si="21"/>
        <v/>
      </c>
      <c r="T86" s="97"/>
      <c r="U86" s="1"/>
    </row>
    <row r="87" spans="1:21" x14ac:dyDescent="0.25">
      <c r="A87" s="7"/>
      <c r="B87" s="7"/>
      <c r="C87" s="7"/>
      <c r="D87" s="7"/>
      <c r="E87" s="7"/>
      <c r="F87" s="7"/>
      <c r="G87" s="7"/>
      <c r="H87" s="7"/>
      <c r="J87" s="94"/>
      <c r="K87" s="7"/>
      <c r="L87" s="7"/>
      <c r="M87" s="7"/>
      <c r="N87" s="7"/>
      <c r="O87" s="7"/>
      <c r="P87" s="7"/>
      <c r="Q87" s="72" t="str">
        <f>IF(K87="","",SUM(K87:P87))</f>
        <v/>
      </c>
      <c r="R87" s="72" t="str">
        <f t="shared" si="20"/>
        <v/>
      </c>
      <c r="S87" s="72" t="str">
        <f t="shared" si="21"/>
        <v/>
      </c>
      <c r="T87" s="97"/>
      <c r="U87" s="1"/>
    </row>
    <row r="88" spans="1:21" x14ac:dyDescent="0.25">
      <c r="A88" s="7"/>
      <c r="B88" s="7"/>
      <c r="C88" s="7"/>
      <c r="D88" s="7"/>
      <c r="E88" s="70" t="s">
        <v>74</v>
      </c>
      <c r="F88" s="49"/>
      <c r="G88" s="7"/>
      <c r="H88" s="50"/>
      <c r="J88" s="95"/>
      <c r="K88" s="7"/>
      <c r="L88" s="72" t="str">
        <f>IF(B88="","",(AVERAGE(L84:L87)))</f>
        <v/>
      </c>
      <c r="M88" s="7"/>
      <c r="N88" s="7"/>
      <c r="O88" s="7"/>
      <c r="P88" s="7"/>
      <c r="Q88" s="72" t="str">
        <f>IF(K88="","",SUM(K88:P88))</f>
        <v/>
      </c>
      <c r="R88" s="72" t="str">
        <f>IF(Q88="","",(1100-(Q88*50)))</f>
        <v/>
      </c>
      <c r="S88" s="72"/>
      <c r="T88" s="98"/>
      <c r="U88" s="1"/>
    </row>
    <row r="89" spans="1:21" x14ac:dyDescent="0.25">
      <c r="A89" s="1"/>
      <c r="B89" s="1"/>
      <c r="C89" s="1"/>
      <c r="D89" s="1"/>
      <c r="E89" s="1"/>
      <c r="F89" s="1"/>
      <c r="G89" s="1"/>
      <c r="H89" s="1"/>
      <c r="I89" s="1"/>
      <c r="J89" s="1"/>
      <c r="K89" s="1"/>
      <c r="L89" s="1"/>
      <c r="M89" s="1"/>
      <c r="N89" s="1"/>
      <c r="O89" s="1"/>
      <c r="P89" s="1"/>
      <c r="Q89" s="1"/>
      <c r="R89" s="1"/>
      <c r="S89" s="1"/>
      <c r="T89" s="61"/>
      <c r="U89" s="1"/>
    </row>
    <row r="90" spans="1:21" x14ac:dyDescent="0.25">
      <c r="A90" s="7"/>
      <c r="B90" s="45" t="s">
        <v>53</v>
      </c>
      <c r="C90" s="85"/>
      <c r="D90" s="86"/>
      <c r="E90" s="86"/>
      <c r="F90" s="86"/>
      <c r="G90" s="86"/>
      <c r="H90" s="87"/>
      <c r="J90" s="88" t="s">
        <v>54</v>
      </c>
      <c r="K90" s="89"/>
      <c r="L90" s="89"/>
      <c r="M90" s="89"/>
      <c r="N90" s="89"/>
      <c r="O90" s="89"/>
      <c r="P90" s="89"/>
      <c r="Q90" s="89"/>
      <c r="R90" s="89"/>
      <c r="S90" s="89"/>
      <c r="T90" s="90"/>
      <c r="U90" s="1"/>
    </row>
    <row r="91" spans="1:21" ht="30" x14ac:dyDescent="0.25">
      <c r="A91" s="41" t="s">
        <v>55</v>
      </c>
      <c r="B91" s="91" t="s">
        <v>56</v>
      </c>
      <c r="C91" s="92"/>
      <c r="D91" s="41" t="s">
        <v>57</v>
      </c>
      <c r="E91" s="41" t="s">
        <v>58</v>
      </c>
      <c r="F91" s="41" t="s">
        <v>59</v>
      </c>
      <c r="G91" s="41" t="s">
        <v>60</v>
      </c>
      <c r="H91" s="41" t="s">
        <v>61</v>
      </c>
      <c r="I91" s="8"/>
      <c r="J91" s="41" t="s">
        <v>62</v>
      </c>
      <c r="K91" s="41" t="s">
        <v>63</v>
      </c>
      <c r="L91" s="41" t="s">
        <v>64</v>
      </c>
      <c r="M91" s="41" t="s">
        <v>65</v>
      </c>
      <c r="N91" s="41" t="s">
        <v>66</v>
      </c>
      <c r="O91" s="41" t="s">
        <v>67</v>
      </c>
      <c r="P91" s="41" t="s">
        <v>68</v>
      </c>
      <c r="Q91" s="41" t="s">
        <v>69</v>
      </c>
      <c r="R91" s="41" t="s">
        <v>70</v>
      </c>
      <c r="S91" s="41" t="s">
        <v>71</v>
      </c>
      <c r="T91" s="62" t="s">
        <v>72</v>
      </c>
      <c r="U91" s="1"/>
    </row>
    <row r="92" spans="1:21" x14ac:dyDescent="0.25">
      <c r="A92" s="7"/>
      <c r="B92" s="7"/>
      <c r="C92" s="7"/>
      <c r="D92" s="7"/>
      <c r="E92" s="7"/>
      <c r="F92" s="7"/>
      <c r="G92" s="7"/>
      <c r="H92" s="7"/>
      <c r="J92" s="93" t="s">
        <v>73</v>
      </c>
      <c r="K92" s="7"/>
      <c r="L92" s="7"/>
      <c r="M92" s="7"/>
      <c r="N92" s="7"/>
      <c r="O92" s="7"/>
      <c r="P92" s="7"/>
      <c r="Q92" s="72" t="str">
        <f>IF(K92="","",SUM(K92:P92))</f>
        <v/>
      </c>
      <c r="R92" s="72" t="str">
        <f>IF(Q92="","",(1100-(Q92*50)))</f>
        <v/>
      </c>
      <c r="S92" s="72" t="str">
        <f>IF(Q92="","",IF($Q$96="",(1100-(Q92*50)),(1100-((($Q$96/COUNTA($A$92:$A$95))+Q92)*50))))</f>
        <v/>
      </c>
      <c r="T92" s="96">
        <f>IF(B96="",SUM(R92:R95),SUM(S92:S95))</f>
        <v>0</v>
      </c>
      <c r="U92" s="1"/>
    </row>
    <row r="93" spans="1:21" x14ac:dyDescent="0.25">
      <c r="A93" s="7"/>
      <c r="B93" s="7"/>
      <c r="C93" s="7"/>
      <c r="D93" s="7"/>
      <c r="E93" s="7"/>
      <c r="F93" s="7"/>
      <c r="G93" s="7"/>
      <c r="H93" s="7"/>
      <c r="J93" s="94"/>
      <c r="K93" s="7"/>
      <c r="L93" s="7"/>
      <c r="M93" s="7"/>
      <c r="N93" s="7"/>
      <c r="O93" s="7"/>
      <c r="P93" s="7"/>
      <c r="Q93" s="72" t="str">
        <f>IF(K93="","",SUM(K93:P93))</f>
        <v/>
      </c>
      <c r="R93" s="72" t="str">
        <f t="shared" ref="R93:R95" si="22">IF(Q93="","",(1100-(Q93*50)))</f>
        <v/>
      </c>
      <c r="S93" s="72" t="str">
        <f t="shared" ref="S93:S95" si="23">IF(Q93="","",IF($Q$96="",(1100-(Q93*50)),(1100-((($Q$96/COUNTA($A$92:$A$95))+Q93)*50))))</f>
        <v/>
      </c>
      <c r="T93" s="97"/>
      <c r="U93" s="1"/>
    </row>
    <row r="94" spans="1:21" x14ac:dyDescent="0.25">
      <c r="A94" s="7"/>
      <c r="B94" s="7"/>
      <c r="C94" s="7"/>
      <c r="D94" s="7"/>
      <c r="E94" s="7"/>
      <c r="F94" s="7"/>
      <c r="G94" s="7"/>
      <c r="H94" s="7"/>
      <c r="J94" s="94"/>
      <c r="K94" s="7"/>
      <c r="L94" s="7"/>
      <c r="M94" s="7"/>
      <c r="N94" s="7"/>
      <c r="O94" s="7"/>
      <c r="P94" s="7"/>
      <c r="Q94" s="72" t="str">
        <f>IF(K94="","",SUM(K94:P94))</f>
        <v/>
      </c>
      <c r="R94" s="72" t="str">
        <f t="shared" si="22"/>
        <v/>
      </c>
      <c r="S94" s="72" t="str">
        <f t="shared" si="23"/>
        <v/>
      </c>
      <c r="T94" s="97"/>
      <c r="U94" s="1"/>
    </row>
    <row r="95" spans="1:21" x14ac:dyDescent="0.25">
      <c r="A95" s="7"/>
      <c r="B95" s="7"/>
      <c r="C95" s="7"/>
      <c r="D95" s="7"/>
      <c r="E95" s="7"/>
      <c r="F95" s="7"/>
      <c r="G95" s="7"/>
      <c r="H95" s="7"/>
      <c r="J95" s="94"/>
      <c r="K95" s="7"/>
      <c r="L95" s="7"/>
      <c r="M95" s="7"/>
      <c r="N95" s="7"/>
      <c r="O95" s="7"/>
      <c r="P95" s="7"/>
      <c r="Q95" s="72" t="str">
        <f>IF(K95="","",SUM(K95:P95))</f>
        <v/>
      </c>
      <c r="R95" s="72" t="str">
        <f t="shared" si="22"/>
        <v/>
      </c>
      <c r="S95" s="72" t="str">
        <f t="shared" si="23"/>
        <v/>
      </c>
      <c r="T95" s="97"/>
      <c r="U95" s="1"/>
    </row>
    <row r="96" spans="1:21" x14ac:dyDescent="0.25">
      <c r="A96" s="7"/>
      <c r="B96" s="7"/>
      <c r="C96" s="7"/>
      <c r="D96" s="7"/>
      <c r="E96" s="70" t="s">
        <v>74</v>
      </c>
      <c r="F96" s="49"/>
      <c r="G96" s="7"/>
      <c r="H96" s="50"/>
      <c r="J96" s="95"/>
      <c r="K96" s="7"/>
      <c r="L96" s="72" t="str">
        <f>IF(B96="","",(AVERAGE(L92:L95)))</f>
        <v/>
      </c>
      <c r="M96" s="7"/>
      <c r="N96" s="7"/>
      <c r="O96" s="7"/>
      <c r="P96" s="7"/>
      <c r="Q96" s="72" t="str">
        <f>IF(K96="","",SUM(K96:P96))</f>
        <v/>
      </c>
      <c r="R96" s="72" t="str">
        <f>IF(Q96="","",(1100-(Q96*50)))</f>
        <v/>
      </c>
      <c r="S96" s="72"/>
      <c r="T96" s="98"/>
      <c r="U96" s="1"/>
    </row>
    <row r="97" spans="1:21" x14ac:dyDescent="0.25">
      <c r="A97" s="1"/>
      <c r="B97" s="1"/>
      <c r="C97" s="1"/>
      <c r="D97" s="1"/>
      <c r="E97" s="1"/>
      <c r="F97" s="1"/>
      <c r="G97" s="1"/>
      <c r="H97" s="1"/>
      <c r="I97" s="1"/>
      <c r="J97" s="1"/>
      <c r="K97" s="1"/>
      <c r="L97" s="1"/>
      <c r="M97" s="1"/>
      <c r="N97" s="1"/>
      <c r="O97" s="1"/>
      <c r="P97" s="1"/>
      <c r="Q97" s="1"/>
      <c r="R97" s="1"/>
      <c r="S97" s="1"/>
      <c r="T97" s="61"/>
      <c r="U97" s="1"/>
    </row>
    <row r="98" spans="1:21" x14ac:dyDescent="0.25">
      <c r="A98" s="7"/>
      <c r="B98" s="45" t="s">
        <v>53</v>
      </c>
      <c r="C98" s="85"/>
      <c r="D98" s="86"/>
      <c r="E98" s="86"/>
      <c r="F98" s="86"/>
      <c r="G98" s="86"/>
      <c r="H98" s="87"/>
      <c r="J98" s="88" t="s">
        <v>54</v>
      </c>
      <c r="K98" s="89"/>
      <c r="L98" s="89"/>
      <c r="M98" s="89"/>
      <c r="N98" s="89"/>
      <c r="O98" s="89"/>
      <c r="P98" s="89"/>
      <c r="Q98" s="89"/>
      <c r="R98" s="89"/>
      <c r="S98" s="89"/>
      <c r="T98" s="90"/>
      <c r="U98" s="1"/>
    </row>
    <row r="99" spans="1:21" ht="30" x14ac:dyDescent="0.25">
      <c r="A99" s="41" t="s">
        <v>55</v>
      </c>
      <c r="B99" s="91" t="s">
        <v>56</v>
      </c>
      <c r="C99" s="92"/>
      <c r="D99" s="41" t="s">
        <v>57</v>
      </c>
      <c r="E99" s="41" t="s">
        <v>58</v>
      </c>
      <c r="F99" s="41" t="s">
        <v>59</v>
      </c>
      <c r="G99" s="41" t="s">
        <v>60</v>
      </c>
      <c r="H99" s="41" t="s">
        <v>61</v>
      </c>
      <c r="I99" s="8"/>
      <c r="J99" s="41" t="s">
        <v>62</v>
      </c>
      <c r="K99" s="41" t="s">
        <v>63</v>
      </c>
      <c r="L99" s="41" t="s">
        <v>64</v>
      </c>
      <c r="M99" s="41" t="s">
        <v>65</v>
      </c>
      <c r="N99" s="41" t="s">
        <v>66</v>
      </c>
      <c r="O99" s="41" t="s">
        <v>67</v>
      </c>
      <c r="P99" s="41" t="s">
        <v>68</v>
      </c>
      <c r="Q99" s="41" t="s">
        <v>69</v>
      </c>
      <c r="R99" s="41" t="s">
        <v>70</v>
      </c>
      <c r="S99" s="41" t="s">
        <v>71</v>
      </c>
      <c r="T99" s="62" t="s">
        <v>72</v>
      </c>
      <c r="U99" s="1"/>
    </row>
    <row r="100" spans="1:21" x14ac:dyDescent="0.25">
      <c r="A100" s="7"/>
      <c r="B100" s="7"/>
      <c r="C100" s="7"/>
      <c r="D100" s="7"/>
      <c r="E100" s="7"/>
      <c r="F100" s="7"/>
      <c r="G100" s="7"/>
      <c r="H100" s="7"/>
      <c r="J100" s="93" t="s">
        <v>73</v>
      </c>
      <c r="K100" s="7"/>
      <c r="L100" s="7"/>
      <c r="M100" s="7"/>
      <c r="N100" s="7"/>
      <c r="O100" s="7"/>
      <c r="P100" s="7"/>
      <c r="Q100" s="72" t="str">
        <f>IF(K100="","",SUM(K100:P100))</f>
        <v/>
      </c>
      <c r="R100" s="72" t="str">
        <f>IF(Q100="","",(1100-(Q100*50)))</f>
        <v/>
      </c>
      <c r="S100" s="72" t="str">
        <f>IF(Q100="","",IF($Q$104="",(1100-(Q100*50)),(1100-((($Q$104/COUNTA($A$100:$A$103))+Q100)*50))))</f>
        <v/>
      </c>
      <c r="T100" s="96">
        <f>IF(B104="",SUM(R100:R103),SUM(S100:S103))</f>
        <v>0</v>
      </c>
      <c r="U100" s="1"/>
    </row>
    <row r="101" spans="1:21" x14ac:dyDescent="0.25">
      <c r="A101" s="7"/>
      <c r="B101" s="7"/>
      <c r="C101" s="7"/>
      <c r="D101" s="7"/>
      <c r="E101" s="7"/>
      <c r="F101" s="7"/>
      <c r="G101" s="7"/>
      <c r="H101" s="7"/>
      <c r="J101" s="94"/>
      <c r="K101" s="7"/>
      <c r="L101" s="7"/>
      <c r="M101" s="7"/>
      <c r="N101" s="7"/>
      <c r="O101" s="7"/>
      <c r="P101" s="7"/>
      <c r="Q101" s="72" t="str">
        <f>IF(K101="","",SUM(K101:P101))</f>
        <v/>
      </c>
      <c r="R101" s="72" t="str">
        <f t="shared" ref="R101:R103" si="24">IF(Q101="","",(1100-(Q101*50)))</f>
        <v/>
      </c>
      <c r="S101" s="72" t="str">
        <f t="shared" ref="S101:S103" si="25">IF(Q101="","",IF($Q$104="",(1100-(Q101*50)),(1100-((($Q$104/COUNTA($A$100:$A$103))+Q101)*50))))</f>
        <v/>
      </c>
      <c r="T101" s="97"/>
      <c r="U101" s="1"/>
    </row>
    <row r="102" spans="1:21" x14ac:dyDescent="0.25">
      <c r="A102" s="7"/>
      <c r="B102" s="7"/>
      <c r="C102" s="7"/>
      <c r="D102" s="7"/>
      <c r="E102" s="7"/>
      <c r="F102" s="7"/>
      <c r="G102" s="7"/>
      <c r="H102" s="7"/>
      <c r="J102" s="94"/>
      <c r="K102" s="7"/>
      <c r="L102" s="7"/>
      <c r="M102" s="7"/>
      <c r="N102" s="7"/>
      <c r="O102" s="7"/>
      <c r="P102" s="7"/>
      <c r="Q102" s="72" t="str">
        <f>IF(K102="","",SUM(K102:P102))</f>
        <v/>
      </c>
      <c r="R102" s="72" t="str">
        <f t="shared" si="24"/>
        <v/>
      </c>
      <c r="S102" s="72" t="str">
        <f t="shared" si="25"/>
        <v/>
      </c>
      <c r="T102" s="97"/>
      <c r="U102" s="1"/>
    </row>
    <row r="103" spans="1:21" x14ac:dyDescent="0.25">
      <c r="A103" s="7"/>
      <c r="B103" s="7"/>
      <c r="C103" s="7"/>
      <c r="D103" s="7"/>
      <c r="E103" s="7"/>
      <c r="F103" s="7"/>
      <c r="G103" s="7"/>
      <c r="H103" s="7"/>
      <c r="J103" s="94"/>
      <c r="K103" s="7"/>
      <c r="L103" s="7"/>
      <c r="M103" s="7"/>
      <c r="N103" s="7"/>
      <c r="O103" s="7"/>
      <c r="P103" s="7"/>
      <c r="Q103" s="72" t="str">
        <f>IF(K103="","",SUM(K103:P103))</f>
        <v/>
      </c>
      <c r="R103" s="72" t="str">
        <f t="shared" si="24"/>
        <v/>
      </c>
      <c r="S103" s="72" t="str">
        <f t="shared" si="25"/>
        <v/>
      </c>
      <c r="T103" s="97"/>
      <c r="U103" s="1"/>
    </row>
    <row r="104" spans="1:21" x14ac:dyDescent="0.25">
      <c r="A104" s="7"/>
      <c r="B104" s="7"/>
      <c r="C104" s="7"/>
      <c r="D104" s="7"/>
      <c r="E104" s="70" t="s">
        <v>74</v>
      </c>
      <c r="F104" s="49"/>
      <c r="G104" s="7"/>
      <c r="H104" s="50"/>
      <c r="J104" s="95"/>
      <c r="K104" s="7"/>
      <c r="L104" s="72" t="str">
        <f>IF(B104="","",(AVERAGE(L100:L103)))</f>
        <v/>
      </c>
      <c r="M104" s="7"/>
      <c r="N104" s="7"/>
      <c r="O104" s="7"/>
      <c r="P104" s="7"/>
      <c r="Q104" s="72" t="str">
        <f>IF(K104="","",SUM(K104:P104))</f>
        <v/>
      </c>
      <c r="R104" s="72" t="str">
        <f>IF(Q104="","",(1100-(Q104*50)))</f>
        <v/>
      </c>
      <c r="S104" s="72"/>
      <c r="T104" s="98"/>
      <c r="U104" s="1"/>
    </row>
    <row r="105" spans="1:21" x14ac:dyDescent="0.25">
      <c r="A105" s="1"/>
      <c r="B105" s="1"/>
      <c r="C105" s="1"/>
      <c r="D105" s="1"/>
      <c r="E105" s="1"/>
      <c r="F105" s="1"/>
      <c r="G105" s="1"/>
      <c r="H105" s="1"/>
      <c r="I105" s="1"/>
      <c r="J105" s="1"/>
      <c r="K105" s="1"/>
      <c r="L105" s="1"/>
      <c r="M105" s="1"/>
      <c r="N105" s="1"/>
      <c r="O105" s="1"/>
      <c r="P105" s="1"/>
      <c r="Q105" s="1"/>
      <c r="R105" s="1"/>
      <c r="S105" s="1"/>
      <c r="T105" s="61"/>
      <c r="U105" s="1"/>
    </row>
    <row r="106" spans="1:21" x14ac:dyDescent="0.25">
      <c r="A106" s="7"/>
      <c r="B106" s="45" t="s">
        <v>53</v>
      </c>
      <c r="C106" s="85"/>
      <c r="D106" s="86"/>
      <c r="E106" s="86"/>
      <c r="F106" s="86"/>
      <c r="G106" s="86"/>
      <c r="H106" s="87"/>
      <c r="J106" s="88" t="s">
        <v>54</v>
      </c>
      <c r="K106" s="89"/>
      <c r="L106" s="89"/>
      <c r="M106" s="89"/>
      <c r="N106" s="89"/>
      <c r="O106" s="89"/>
      <c r="P106" s="89"/>
      <c r="Q106" s="89"/>
      <c r="R106" s="89"/>
      <c r="S106" s="89"/>
      <c r="T106" s="90"/>
      <c r="U106" s="1"/>
    </row>
    <row r="107" spans="1:21" ht="30" x14ac:dyDescent="0.25">
      <c r="A107" s="41" t="s">
        <v>55</v>
      </c>
      <c r="B107" s="91" t="s">
        <v>56</v>
      </c>
      <c r="C107" s="92"/>
      <c r="D107" s="41" t="s">
        <v>57</v>
      </c>
      <c r="E107" s="41" t="s">
        <v>58</v>
      </c>
      <c r="F107" s="41" t="s">
        <v>59</v>
      </c>
      <c r="G107" s="41" t="s">
        <v>60</v>
      </c>
      <c r="H107" s="41" t="s">
        <v>61</v>
      </c>
      <c r="I107" s="8"/>
      <c r="J107" s="41" t="s">
        <v>62</v>
      </c>
      <c r="K107" s="41" t="s">
        <v>63</v>
      </c>
      <c r="L107" s="41" t="s">
        <v>64</v>
      </c>
      <c r="M107" s="41" t="s">
        <v>65</v>
      </c>
      <c r="N107" s="41" t="s">
        <v>66</v>
      </c>
      <c r="O107" s="41" t="s">
        <v>67</v>
      </c>
      <c r="P107" s="41" t="s">
        <v>68</v>
      </c>
      <c r="Q107" s="41" t="s">
        <v>69</v>
      </c>
      <c r="R107" s="41" t="s">
        <v>70</v>
      </c>
      <c r="S107" s="41" t="s">
        <v>71</v>
      </c>
      <c r="T107" s="62" t="s">
        <v>72</v>
      </c>
      <c r="U107" s="1"/>
    </row>
    <row r="108" spans="1:21" x14ac:dyDescent="0.25">
      <c r="A108" s="7"/>
      <c r="B108" s="7"/>
      <c r="C108" s="7"/>
      <c r="D108" s="7"/>
      <c r="E108" s="7"/>
      <c r="F108" s="7"/>
      <c r="G108" s="7"/>
      <c r="H108" s="7"/>
      <c r="J108" s="93" t="s">
        <v>73</v>
      </c>
      <c r="K108" s="7"/>
      <c r="L108" s="7"/>
      <c r="M108" s="7"/>
      <c r="N108" s="7"/>
      <c r="O108" s="7"/>
      <c r="P108" s="7"/>
      <c r="Q108" s="72" t="str">
        <f>IF(K108="","",SUM(K108:P108))</f>
        <v/>
      </c>
      <c r="R108" s="72" t="str">
        <f>IF(Q108="","",(1100-(Q108*50)))</f>
        <v/>
      </c>
      <c r="S108" s="72" t="str">
        <f>IF(Q108="","",IF($Q$112="",(1100-(Q108*50)),(1100-((($Q$112/COUNTA($A$108:$A$111))+Q108)*50))))</f>
        <v/>
      </c>
      <c r="T108" s="96">
        <f>IF(B112="",SUM(R108:R111),SUM(S108:S111))</f>
        <v>0</v>
      </c>
      <c r="U108" s="1"/>
    </row>
    <row r="109" spans="1:21" x14ac:dyDescent="0.25">
      <c r="A109" s="7"/>
      <c r="B109" s="7"/>
      <c r="C109" s="7"/>
      <c r="D109" s="7"/>
      <c r="E109" s="7"/>
      <c r="F109" s="7"/>
      <c r="G109" s="7"/>
      <c r="H109" s="7"/>
      <c r="J109" s="94"/>
      <c r="K109" s="7"/>
      <c r="L109" s="7"/>
      <c r="M109" s="7"/>
      <c r="N109" s="7"/>
      <c r="O109" s="7"/>
      <c r="P109" s="7"/>
      <c r="Q109" s="72" t="str">
        <f>IF(K109="","",SUM(K109:P109))</f>
        <v/>
      </c>
      <c r="R109" s="72" t="str">
        <f t="shared" ref="R109:R111" si="26">IF(Q109="","",(1100-(Q109*50)))</f>
        <v/>
      </c>
      <c r="S109" s="72" t="str">
        <f t="shared" ref="S109:S111" si="27">IF(Q109="","",IF($Q$112="",(1100-(Q109*50)),(1100-((($Q$112/COUNTA($A$108:$A$111))+Q109)*50))))</f>
        <v/>
      </c>
      <c r="T109" s="97"/>
      <c r="U109" s="1"/>
    </row>
    <row r="110" spans="1:21" x14ac:dyDescent="0.25">
      <c r="A110" s="7"/>
      <c r="B110" s="7"/>
      <c r="C110" s="7"/>
      <c r="D110" s="7"/>
      <c r="E110" s="7"/>
      <c r="F110" s="7"/>
      <c r="G110" s="7"/>
      <c r="H110" s="7"/>
      <c r="J110" s="94"/>
      <c r="K110" s="7"/>
      <c r="L110" s="7"/>
      <c r="M110" s="7"/>
      <c r="N110" s="7"/>
      <c r="O110" s="7"/>
      <c r="P110" s="7"/>
      <c r="Q110" s="72" t="str">
        <f>IF(K110="","",SUM(K110:P110))</f>
        <v/>
      </c>
      <c r="R110" s="72" t="str">
        <f t="shared" si="26"/>
        <v/>
      </c>
      <c r="S110" s="72" t="str">
        <f t="shared" si="27"/>
        <v/>
      </c>
      <c r="T110" s="97"/>
      <c r="U110" s="1"/>
    </row>
    <row r="111" spans="1:21" x14ac:dyDescent="0.25">
      <c r="A111" s="7"/>
      <c r="B111" s="7"/>
      <c r="C111" s="7"/>
      <c r="D111" s="7"/>
      <c r="E111" s="7"/>
      <c r="F111" s="7"/>
      <c r="G111" s="7"/>
      <c r="H111" s="7"/>
      <c r="J111" s="94"/>
      <c r="K111" s="7"/>
      <c r="L111" s="7"/>
      <c r="M111" s="7"/>
      <c r="N111" s="7"/>
      <c r="O111" s="7"/>
      <c r="P111" s="7"/>
      <c r="Q111" s="72" t="str">
        <f>IF(K111="","",SUM(K111:P111))</f>
        <v/>
      </c>
      <c r="R111" s="72" t="str">
        <f t="shared" si="26"/>
        <v/>
      </c>
      <c r="S111" s="72" t="str">
        <f t="shared" si="27"/>
        <v/>
      </c>
      <c r="T111" s="97"/>
      <c r="U111" s="1"/>
    </row>
    <row r="112" spans="1:21" x14ac:dyDescent="0.25">
      <c r="A112" s="7"/>
      <c r="B112" s="7"/>
      <c r="C112" s="7"/>
      <c r="D112" s="7"/>
      <c r="E112" s="70" t="s">
        <v>74</v>
      </c>
      <c r="F112" s="49"/>
      <c r="G112" s="7"/>
      <c r="H112" s="50"/>
      <c r="J112" s="95"/>
      <c r="K112" s="7"/>
      <c r="L112" s="72" t="str">
        <f>IF(B112="","",(AVERAGE(L108:L111)))</f>
        <v/>
      </c>
      <c r="M112" s="7"/>
      <c r="N112" s="7"/>
      <c r="O112" s="7"/>
      <c r="P112" s="7"/>
      <c r="Q112" s="72" t="str">
        <f>IF(K112="","",SUM(K112:P112))</f>
        <v/>
      </c>
      <c r="R112" s="72" t="str">
        <f>IF(Q112="","",(1100-(Q112*50)))</f>
        <v/>
      </c>
      <c r="S112" s="72"/>
      <c r="T112" s="98"/>
      <c r="U112" s="1"/>
    </row>
    <row r="113" spans="1:21" x14ac:dyDescent="0.25">
      <c r="A113" s="1"/>
      <c r="B113" s="1"/>
      <c r="C113" s="1"/>
      <c r="D113" s="1"/>
      <c r="E113" s="1"/>
      <c r="F113" s="1"/>
      <c r="G113" s="1"/>
      <c r="H113" s="1"/>
      <c r="I113" s="1"/>
      <c r="J113" s="1"/>
      <c r="K113" s="1"/>
      <c r="L113" s="1"/>
      <c r="M113" s="1"/>
      <c r="N113" s="1"/>
      <c r="O113" s="1"/>
      <c r="P113" s="1"/>
      <c r="Q113" s="1"/>
      <c r="R113" s="1"/>
      <c r="S113" s="1"/>
      <c r="T113" s="61"/>
      <c r="U113" s="1"/>
    </row>
    <row r="114" spans="1:21" x14ac:dyDescent="0.25">
      <c r="A114" s="7"/>
      <c r="B114" s="45" t="s">
        <v>53</v>
      </c>
      <c r="C114" s="85"/>
      <c r="D114" s="86"/>
      <c r="E114" s="86"/>
      <c r="F114" s="86"/>
      <c r="G114" s="86"/>
      <c r="H114" s="87"/>
      <c r="J114" s="88" t="s">
        <v>54</v>
      </c>
      <c r="K114" s="89"/>
      <c r="L114" s="89"/>
      <c r="M114" s="89"/>
      <c r="N114" s="89"/>
      <c r="O114" s="89"/>
      <c r="P114" s="89"/>
      <c r="Q114" s="89"/>
      <c r="R114" s="89"/>
      <c r="S114" s="89"/>
      <c r="T114" s="90"/>
      <c r="U114" s="1"/>
    </row>
    <row r="115" spans="1:21" ht="30" x14ac:dyDescent="0.25">
      <c r="A115" s="41" t="s">
        <v>55</v>
      </c>
      <c r="B115" s="91" t="s">
        <v>56</v>
      </c>
      <c r="C115" s="92"/>
      <c r="D115" s="41" t="s">
        <v>57</v>
      </c>
      <c r="E115" s="41" t="s">
        <v>58</v>
      </c>
      <c r="F115" s="41" t="s">
        <v>59</v>
      </c>
      <c r="G115" s="41" t="s">
        <v>60</v>
      </c>
      <c r="H115" s="41" t="s">
        <v>61</v>
      </c>
      <c r="I115" s="8"/>
      <c r="J115" s="41" t="s">
        <v>62</v>
      </c>
      <c r="K115" s="41" t="s">
        <v>63</v>
      </c>
      <c r="L115" s="41" t="s">
        <v>64</v>
      </c>
      <c r="M115" s="41" t="s">
        <v>65</v>
      </c>
      <c r="N115" s="41" t="s">
        <v>66</v>
      </c>
      <c r="O115" s="41" t="s">
        <v>67</v>
      </c>
      <c r="P115" s="41" t="s">
        <v>68</v>
      </c>
      <c r="Q115" s="41" t="s">
        <v>69</v>
      </c>
      <c r="R115" s="41" t="s">
        <v>70</v>
      </c>
      <c r="S115" s="41" t="s">
        <v>71</v>
      </c>
      <c r="T115" s="62" t="s">
        <v>72</v>
      </c>
      <c r="U115" s="1"/>
    </row>
    <row r="116" spans="1:21" x14ac:dyDescent="0.25">
      <c r="A116" s="7"/>
      <c r="B116" s="7"/>
      <c r="C116" s="7"/>
      <c r="D116" s="7"/>
      <c r="E116" s="7"/>
      <c r="F116" s="7"/>
      <c r="G116" s="7"/>
      <c r="H116" s="7"/>
      <c r="J116" s="93" t="s">
        <v>73</v>
      </c>
      <c r="K116" s="7"/>
      <c r="L116" s="7"/>
      <c r="M116" s="7"/>
      <c r="N116" s="7"/>
      <c r="O116" s="7"/>
      <c r="P116" s="7"/>
      <c r="Q116" s="72" t="str">
        <f>IF(K116="","",SUM(K116:P116))</f>
        <v/>
      </c>
      <c r="R116" s="72" t="str">
        <f>IF(Q116="","",(1100-(Q116*50)))</f>
        <v/>
      </c>
      <c r="S116" s="72" t="str">
        <f>IF(Q116="","",IF($Q$120="",(1100-(Q116*50)),(1100-((($Q$120/COUNTA($A$116:$A$119))+Q116)*50))))</f>
        <v/>
      </c>
      <c r="T116" s="96">
        <f>IF(B120="",SUM(R116:R119),SUM(S116:S119))</f>
        <v>0</v>
      </c>
      <c r="U116" s="1"/>
    </row>
    <row r="117" spans="1:21" x14ac:dyDescent="0.25">
      <c r="A117" s="7"/>
      <c r="B117" s="7"/>
      <c r="C117" s="7"/>
      <c r="D117" s="7"/>
      <c r="E117" s="7"/>
      <c r="F117" s="7"/>
      <c r="G117" s="7"/>
      <c r="H117" s="7"/>
      <c r="J117" s="94"/>
      <c r="K117" s="7"/>
      <c r="L117" s="7"/>
      <c r="M117" s="7"/>
      <c r="N117" s="7"/>
      <c r="O117" s="7"/>
      <c r="P117" s="7"/>
      <c r="Q117" s="72" t="str">
        <f>IF(K117="","",SUM(K117:P117))</f>
        <v/>
      </c>
      <c r="R117" s="72" t="str">
        <f t="shared" ref="R117:R119" si="28">IF(Q117="","",(1100-(Q117*50)))</f>
        <v/>
      </c>
      <c r="S117" s="72" t="str">
        <f t="shared" ref="S117:S119" si="29">IF(Q117="","",IF($Q$120="",(1100-(Q117*50)),(1100-((($Q$120/COUNTA($A$116:$A$119))+Q117)*50))))</f>
        <v/>
      </c>
      <c r="T117" s="97"/>
      <c r="U117" s="1"/>
    </row>
    <row r="118" spans="1:21" x14ac:dyDescent="0.25">
      <c r="A118" s="7"/>
      <c r="B118" s="7"/>
      <c r="C118" s="7"/>
      <c r="D118" s="7"/>
      <c r="E118" s="7"/>
      <c r="F118" s="7"/>
      <c r="G118" s="7"/>
      <c r="H118" s="7"/>
      <c r="J118" s="94"/>
      <c r="K118" s="7"/>
      <c r="L118" s="7"/>
      <c r="M118" s="7"/>
      <c r="N118" s="7"/>
      <c r="O118" s="7"/>
      <c r="P118" s="7"/>
      <c r="Q118" s="72" t="str">
        <f>IF(K118="","",SUM(K118:P118))</f>
        <v/>
      </c>
      <c r="R118" s="72" t="str">
        <f t="shared" si="28"/>
        <v/>
      </c>
      <c r="S118" s="72" t="str">
        <f t="shared" si="29"/>
        <v/>
      </c>
      <c r="T118" s="97"/>
      <c r="U118" s="1"/>
    </row>
    <row r="119" spans="1:21" x14ac:dyDescent="0.25">
      <c r="A119" s="7"/>
      <c r="B119" s="7"/>
      <c r="C119" s="7"/>
      <c r="D119" s="7"/>
      <c r="E119" s="7"/>
      <c r="F119" s="7"/>
      <c r="G119" s="7"/>
      <c r="H119" s="7"/>
      <c r="J119" s="94"/>
      <c r="K119" s="7"/>
      <c r="L119" s="7"/>
      <c r="M119" s="7"/>
      <c r="N119" s="7"/>
      <c r="O119" s="7"/>
      <c r="P119" s="7"/>
      <c r="Q119" s="72" t="str">
        <f>IF(K119="","",SUM(K119:P119))</f>
        <v/>
      </c>
      <c r="R119" s="72" t="str">
        <f t="shared" si="28"/>
        <v/>
      </c>
      <c r="S119" s="72" t="str">
        <f t="shared" si="29"/>
        <v/>
      </c>
      <c r="T119" s="97"/>
      <c r="U119" s="1"/>
    </row>
    <row r="120" spans="1:21" x14ac:dyDescent="0.25">
      <c r="A120" s="7"/>
      <c r="B120" s="7"/>
      <c r="C120" s="7"/>
      <c r="D120" s="7"/>
      <c r="E120" s="70" t="s">
        <v>74</v>
      </c>
      <c r="F120" s="49"/>
      <c r="G120" s="7"/>
      <c r="H120" s="50"/>
      <c r="J120" s="95"/>
      <c r="K120" s="7"/>
      <c r="L120" s="72" t="str">
        <f>IF(B120="","",(AVERAGE(L116:L119)))</f>
        <v/>
      </c>
      <c r="M120" s="7"/>
      <c r="N120" s="7"/>
      <c r="O120" s="7"/>
      <c r="P120" s="7"/>
      <c r="Q120" s="72" t="str">
        <f>IF(K120="","",SUM(K120:P120))</f>
        <v/>
      </c>
      <c r="R120" s="72" t="str">
        <f>IF(Q120="","",(1100-(Q120*50)))</f>
        <v/>
      </c>
      <c r="S120" s="72"/>
      <c r="T120" s="98"/>
      <c r="U120" s="1"/>
    </row>
    <row r="121" spans="1:21" x14ac:dyDescent="0.25">
      <c r="A121" s="1"/>
      <c r="B121" s="1"/>
      <c r="C121" s="1"/>
      <c r="D121" s="1"/>
      <c r="E121" s="1"/>
      <c r="F121" s="1"/>
      <c r="G121" s="1"/>
      <c r="H121" s="1"/>
      <c r="I121" s="1"/>
      <c r="J121" s="1"/>
      <c r="K121" s="1"/>
      <c r="L121" s="1"/>
      <c r="M121" s="1"/>
      <c r="N121" s="1"/>
      <c r="O121" s="1"/>
      <c r="P121" s="1"/>
      <c r="Q121" s="1"/>
      <c r="R121" s="1"/>
      <c r="S121" s="1"/>
      <c r="T121" s="61"/>
      <c r="U121" s="1"/>
    </row>
    <row r="122" spans="1:21" x14ac:dyDescent="0.25">
      <c r="A122" s="7"/>
      <c r="B122" s="45" t="s">
        <v>53</v>
      </c>
      <c r="C122" s="85"/>
      <c r="D122" s="86"/>
      <c r="E122" s="86"/>
      <c r="F122" s="86"/>
      <c r="G122" s="86"/>
      <c r="H122" s="87"/>
      <c r="J122" s="88" t="s">
        <v>54</v>
      </c>
      <c r="K122" s="89"/>
      <c r="L122" s="89"/>
      <c r="M122" s="89"/>
      <c r="N122" s="89"/>
      <c r="O122" s="89"/>
      <c r="P122" s="89"/>
      <c r="Q122" s="89"/>
      <c r="R122" s="89"/>
      <c r="S122" s="89"/>
      <c r="T122" s="90"/>
      <c r="U122" s="1"/>
    </row>
    <row r="123" spans="1:21" ht="30" x14ac:dyDescent="0.25">
      <c r="A123" s="41" t="s">
        <v>55</v>
      </c>
      <c r="B123" s="91" t="s">
        <v>56</v>
      </c>
      <c r="C123" s="92"/>
      <c r="D123" s="41" t="s">
        <v>57</v>
      </c>
      <c r="E123" s="41" t="s">
        <v>58</v>
      </c>
      <c r="F123" s="41" t="s">
        <v>59</v>
      </c>
      <c r="G123" s="41" t="s">
        <v>60</v>
      </c>
      <c r="H123" s="41" t="s">
        <v>61</v>
      </c>
      <c r="I123" s="8"/>
      <c r="J123" s="41" t="s">
        <v>62</v>
      </c>
      <c r="K123" s="41" t="s">
        <v>63</v>
      </c>
      <c r="L123" s="41" t="s">
        <v>64</v>
      </c>
      <c r="M123" s="41" t="s">
        <v>65</v>
      </c>
      <c r="N123" s="41" t="s">
        <v>66</v>
      </c>
      <c r="O123" s="41" t="s">
        <v>67</v>
      </c>
      <c r="P123" s="41" t="s">
        <v>68</v>
      </c>
      <c r="Q123" s="41" t="s">
        <v>69</v>
      </c>
      <c r="R123" s="41" t="s">
        <v>70</v>
      </c>
      <c r="S123" s="41" t="s">
        <v>71</v>
      </c>
      <c r="T123" s="62" t="s">
        <v>72</v>
      </c>
      <c r="U123" s="1"/>
    </row>
    <row r="124" spans="1:21" x14ac:dyDescent="0.25">
      <c r="A124" s="7"/>
      <c r="B124" s="7"/>
      <c r="C124" s="7"/>
      <c r="D124" s="7"/>
      <c r="E124" s="7"/>
      <c r="F124" s="7"/>
      <c r="G124" s="7"/>
      <c r="H124" s="7"/>
      <c r="J124" s="93" t="s">
        <v>73</v>
      </c>
      <c r="K124" s="7"/>
      <c r="L124" s="7"/>
      <c r="M124" s="7"/>
      <c r="N124" s="7"/>
      <c r="O124" s="7"/>
      <c r="P124" s="7"/>
      <c r="Q124" s="72" t="str">
        <f>IF(K124="","",SUM(K124:P124))</f>
        <v/>
      </c>
      <c r="R124" s="72" t="str">
        <f>IF(Q124="","",(1100-(Q124*50)))</f>
        <v/>
      </c>
      <c r="S124" s="72" t="str">
        <f>IF(Q124="","",IF($Q$128="",(1100-(Q124*50)),(1100-((($Q$128/COUNTA($A$124:$A$127))+Q124)*50))))</f>
        <v/>
      </c>
      <c r="T124" s="96">
        <f>IF(B128="",SUM(R124:R127),SUM(S124:S127))</f>
        <v>0</v>
      </c>
      <c r="U124" s="1"/>
    </row>
    <row r="125" spans="1:21" x14ac:dyDescent="0.25">
      <c r="A125" s="7"/>
      <c r="B125" s="7"/>
      <c r="C125" s="7"/>
      <c r="D125" s="7"/>
      <c r="E125" s="7"/>
      <c r="F125" s="7"/>
      <c r="G125" s="7"/>
      <c r="H125" s="7"/>
      <c r="J125" s="94"/>
      <c r="K125" s="7"/>
      <c r="L125" s="7"/>
      <c r="M125" s="7"/>
      <c r="N125" s="7"/>
      <c r="O125" s="7"/>
      <c r="P125" s="7"/>
      <c r="Q125" s="72" t="str">
        <f>IF(K125="","",SUM(K125:P125))</f>
        <v/>
      </c>
      <c r="R125" s="72" t="str">
        <f t="shared" ref="R125:R127" si="30">IF(Q125="","",(1100-(Q125*50)))</f>
        <v/>
      </c>
      <c r="S125" s="72" t="str">
        <f t="shared" ref="S125:S127" si="31">IF(Q125="","",IF($Q$128="",(1100-(Q125*50)),(1100-((($Q$128/COUNTA($A$124:$A$127))+Q125)*50))))</f>
        <v/>
      </c>
      <c r="T125" s="97"/>
      <c r="U125" s="1"/>
    </row>
    <row r="126" spans="1:21" x14ac:dyDescent="0.25">
      <c r="A126" s="7"/>
      <c r="B126" s="7"/>
      <c r="C126" s="7"/>
      <c r="D126" s="7"/>
      <c r="E126" s="7"/>
      <c r="F126" s="7"/>
      <c r="G126" s="7"/>
      <c r="H126" s="7"/>
      <c r="J126" s="94"/>
      <c r="K126" s="7"/>
      <c r="L126" s="7"/>
      <c r="M126" s="7"/>
      <c r="N126" s="7"/>
      <c r="O126" s="7"/>
      <c r="P126" s="7"/>
      <c r="Q126" s="72" t="str">
        <f>IF(K126="","",SUM(K126:P126))</f>
        <v/>
      </c>
      <c r="R126" s="72" t="str">
        <f t="shared" si="30"/>
        <v/>
      </c>
      <c r="S126" s="72" t="str">
        <f t="shared" si="31"/>
        <v/>
      </c>
      <c r="T126" s="97"/>
      <c r="U126" s="1"/>
    </row>
    <row r="127" spans="1:21" x14ac:dyDescent="0.25">
      <c r="A127" s="7"/>
      <c r="B127" s="7"/>
      <c r="C127" s="7"/>
      <c r="D127" s="7"/>
      <c r="E127" s="7"/>
      <c r="F127" s="7"/>
      <c r="G127" s="7"/>
      <c r="H127" s="7"/>
      <c r="J127" s="94"/>
      <c r="K127" s="7"/>
      <c r="L127" s="7"/>
      <c r="M127" s="7"/>
      <c r="N127" s="7"/>
      <c r="O127" s="7"/>
      <c r="P127" s="7"/>
      <c r="Q127" s="72" t="str">
        <f>IF(K127="","",SUM(K127:P127))</f>
        <v/>
      </c>
      <c r="R127" s="72" t="str">
        <f t="shared" si="30"/>
        <v/>
      </c>
      <c r="S127" s="72" t="str">
        <f t="shared" si="31"/>
        <v/>
      </c>
      <c r="T127" s="97"/>
      <c r="U127" s="1"/>
    </row>
    <row r="128" spans="1:21" x14ac:dyDescent="0.25">
      <c r="A128" s="7"/>
      <c r="B128" s="7"/>
      <c r="C128" s="7"/>
      <c r="D128" s="7"/>
      <c r="E128" s="70" t="s">
        <v>74</v>
      </c>
      <c r="F128" s="49"/>
      <c r="G128" s="7"/>
      <c r="H128" s="50"/>
      <c r="J128" s="95"/>
      <c r="K128" s="7"/>
      <c r="L128" s="72" t="str">
        <f>IF(B128="","",(AVERAGE(L124:L127)))</f>
        <v/>
      </c>
      <c r="M128" s="7"/>
      <c r="N128" s="7"/>
      <c r="O128" s="7"/>
      <c r="P128" s="7"/>
      <c r="Q128" s="72" t="str">
        <f>IF(K128="","",SUM(K128:P128))</f>
        <v/>
      </c>
      <c r="R128" s="72" t="str">
        <f>IF(Q128="","",(1100-(Q128*50)))</f>
        <v/>
      </c>
      <c r="S128" s="72"/>
      <c r="T128" s="98"/>
      <c r="U128" s="1"/>
    </row>
    <row r="129" spans="1:21" x14ac:dyDescent="0.25">
      <c r="A129" s="1"/>
      <c r="B129" s="1"/>
      <c r="C129" s="1"/>
      <c r="D129" s="1"/>
      <c r="E129" s="1"/>
      <c r="F129" s="1"/>
      <c r="G129" s="1"/>
      <c r="H129" s="1"/>
      <c r="I129" s="1"/>
      <c r="J129" s="1"/>
      <c r="K129" s="1"/>
      <c r="L129" s="1"/>
      <c r="M129" s="1"/>
      <c r="N129" s="1"/>
      <c r="O129" s="1"/>
      <c r="P129" s="1"/>
      <c r="Q129" s="1"/>
      <c r="R129" s="1"/>
      <c r="S129" s="1"/>
      <c r="T129" s="61"/>
      <c r="U129" s="1"/>
    </row>
    <row r="130" spans="1:21" x14ac:dyDescent="0.25">
      <c r="A130" s="7"/>
      <c r="B130" s="45" t="s">
        <v>53</v>
      </c>
      <c r="C130" s="85"/>
      <c r="D130" s="86"/>
      <c r="E130" s="86"/>
      <c r="F130" s="86"/>
      <c r="G130" s="86"/>
      <c r="H130" s="87"/>
      <c r="J130" s="88" t="s">
        <v>54</v>
      </c>
      <c r="K130" s="89"/>
      <c r="L130" s="89"/>
      <c r="M130" s="89"/>
      <c r="N130" s="89"/>
      <c r="O130" s="89"/>
      <c r="P130" s="89"/>
      <c r="Q130" s="89"/>
      <c r="R130" s="89"/>
      <c r="S130" s="89"/>
      <c r="T130" s="90"/>
      <c r="U130" s="1"/>
    </row>
    <row r="131" spans="1:21" ht="30" x14ac:dyDescent="0.25">
      <c r="A131" s="41" t="s">
        <v>55</v>
      </c>
      <c r="B131" s="91" t="s">
        <v>56</v>
      </c>
      <c r="C131" s="92"/>
      <c r="D131" s="41" t="s">
        <v>57</v>
      </c>
      <c r="E131" s="41" t="s">
        <v>58</v>
      </c>
      <c r="F131" s="41" t="s">
        <v>59</v>
      </c>
      <c r="G131" s="41" t="s">
        <v>60</v>
      </c>
      <c r="H131" s="41" t="s">
        <v>61</v>
      </c>
      <c r="I131" s="8"/>
      <c r="J131" s="41" t="s">
        <v>62</v>
      </c>
      <c r="K131" s="41" t="s">
        <v>63</v>
      </c>
      <c r="L131" s="41" t="s">
        <v>64</v>
      </c>
      <c r="M131" s="41" t="s">
        <v>65</v>
      </c>
      <c r="N131" s="41" t="s">
        <v>66</v>
      </c>
      <c r="O131" s="41" t="s">
        <v>67</v>
      </c>
      <c r="P131" s="41" t="s">
        <v>68</v>
      </c>
      <c r="Q131" s="41" t="s">
        <v>69</v>
      </c>
      <c r="R131" s="41" t="s">
        <v>70</v>
      </c>
      <c r="S131" s="41" t="s">
        <v>71</v>
      </c>
      <c r="T131" s="62" t="s">
        <v>72</v>
      </c>
      <c r="U131" s="1"/>
    </row>
    <row r="132" spans="1:21" x14ac:dyDescent="0.25">
      <c r="A132" s="7"/>
      <c r="B132" s="7"/>
      <c r="C132" s="7"/>
      <c r="D132" s="7"/>
      <c r="E132" s="7"/>
      <c r="F132" s="7"/>
      <c r="G132" s="7"/>
      <c r="H132" s="7"/>
      <c r="J132" s="93" t="s">
        <v>73</v>
      </c>
      <c r="K132" s="7"/>
      <c r="L132" s="7"/>
      <c r="M132" s="7"/>
      <c r="N132" s="7"/>
      <c r="O132" s="7"/>
      <c r="P132" s="7"/>
      <c r="Q132" s="72" t="str">
        <f>IF(K132="","",SUM(K132:P132))</f>
        <v/>
      </c>
      <c r="R132" s="72" t="str">
        <f>IF(Q132="","",(1100-(Q132*50)))</f>
        <v/>
      </c>
      <c r="S132" s="72" t="str">
        <f>IF(Q132="","",IF($Q$136="",(1100-(Q132*50)),(1100-((($Q$136/COUNTA($A$132:$A$135))+Q132)*50))))</f>
        <v/>
      </c>
      <c r="T132" s="96">
        <f>IF(B136="",SUM(R132:R135),SUM(S132:S135))</f>
        <v>0</v>
      </c>
      <c r="U132" s="1"/>
    </row>
    <row r="133" spans="1:21" x14ac:dyDescent="0.25">
      <c r="A133" s="7"/>
      <c r="B133" s="7"/>
      <c r="C133" s="7"/>
      <c r="D133" s="7"/>
      <c r="E133" s="7"/>
      <c r="F133" s="7"/>
      <c r="G133" s="7"/>
      <c r="H133" s="7"/>
      <c r="J133" s="94"/>
      <c r="K133" s="7"/>
      <c r="L133" s="7"/>
      <c r="M133" s="7"/>
      <c r="N133" s="7"/>
      <c r="O133" s="7"/>
      <c r="P133" s="7"/>
      <c r="Q133" s="72" t="str">
        <f>IF(K133="","",SUM(K133:P133))</f>
        <v/>
      </c>
      <c r="R133" s="72" t="str">
        <f t="shared" ref="R133:R135" si="32">IF(Q133="","",(1100-(Q133*50)))</f>
        <v/>
      </c>
      <c r="S133" s="72" t="str">
        <f t="shared" ref="S133:S135" si="33">IF(Q133="","",IF($Q$136="",(1100-(Q133*50)),(1100-((($Q$136/COUNTA($A$132:$A$135))+Q133)*50))))</f>
        <v/>
      </c>
      <c r="T133" s="97"/>
      <c r="U133" s="1"/>
    </row>
    <row r="134" spans="1:21" x14ac:dyDescent="0.25">
      <c r="A134" s="7"/>
      <c r="B134" s="7"/>
      <c r="C134" s="7"/>
      <c r="D134" s="7"/>
      <c r="E134" s="7"/>
      <c r="F134" s="7"/>
      <c r="G134" s="7"/>
      <c r="H134" s="7"/>
      <c r="J134" s="94"/>
      <c r="K134" s="7"/>
      <c r="L134" s="7"/>
      <c r="M134" s="7"/>
      <c r="N134" s="7"/>
      <c r="O134" s="7"/>
      <c r="P134" s="7"/>
      <c r="Q134" s="72" t="str">
        <f>IF(K134="","",SUM(K134:P134))</f>
        <v/>
      </c>
      <c r="R134" s="72" t="str">
        <f t="shared" si="32"/>
        <v/>
      </c>
      <c r="S134" s="72" t="str">
        <f t="shared" si="33"/>
        <v/>
      </c>
      <c r="T134" s="97"/>
      <c r="U134" s="1"/>
    </row>
    <row r="135" spans="1:21" x14ac:dyDescent="0.25">
      <c r="A135" s="7"/>
      <c r="B135" s="7"/>
      <c r="C135" s="7"/>
      <c r="D135" s="7"/>
      <c r="E135" s="7"/>
      <c r="F135" s="7"/>
      <c r="G135" s="7"/>
      <c r="H135" s="7"/>
      <c r="J135" s="94"/>
      <c r="K135" s="7"/>
      <c r="L135" s="7"/>
      <c r="M135" s="7"/>
      <c r="N135" s="7"/>
      <c r="O135" s="7"/>
      <c r="P135" s="7"/>
      <c r="Q135" s="72" t="str">
        <f>IF(K135="","",SUM(K135:P135))</f>
        <v/>
      </c>
      <c r="R135" s="72" t="str">
        <f t="shared" si="32"/>
        <v/>
      </c>
      <c r="S135" s="72" t="str">
        <f t="shared" si="33"/>
        <v/>
      </c>
      <c r="T135" s="97"/>
      <c r="U135" s="1"/>
    </row>
    <row r="136" spans="1:21" x14ac:dyDescent="0.25">
      <c r="A136" s="7"/>
      <c r="B136" s="7"/>
      <c r="C136" s="7"/>
      <c r="D136" s="7"/>
      <c r="E136" s="70" t="s">
        <v>74</v>
      </c>
      <c r="F136" s="49"/>
      <c r="G136" s="7"/>
      <c r="H136" s="50"/>
      <c r="J136" s="95"/>
      <c r="K136" s="7"/>
      <c r="L136" s="72" t="str">
        <f>IF(B136="","",(AVERAGE(L132:L135)))</f>
        <v/>
      </c>
      <c r="M136" s="7"/>
      <c r="N136" s="7"/>
      <c r="O136" s="7"/>
      <c r="P136" s="7"/>
      <c r="Q136" s="72" t="str">
        <f>IF(K136="","",SUM(K136:P136))</f>
        <v/>
      </c>
      <c r="R136" s="72" t="str">
        <f>IF(Q136="","",(1100-(Q136*50)))</f>
        <v/>
      </c>
      <c r="S136" s="72"/>
      <c r="T136" s="98"/>
      <c r="U136" s="1"/>
    </row>
    <row r="137" spans="1:21" x14ac:dyDescent="0.25">
      <c r="A137" s="1"/>
      <c r="B137" s="1"/>
      <c r="C137" s="1"/>
      <c r="D137" s="1"/>
      <c r="E137" s="1"/>
      <c r="F137" s="1"/>
      <c r="G137" s="1"/>
      <c r="H137" s="1"/>
      <c r="I137" s="1"/>
      <c r="J137" s="1"/>
      <c r="K137" s="1"/>
      <c r="L137" s="1"/>
      <c r="M137" s="1"/>
      <c r="N137" s="1"/>
      <c r="O137" s="1"/>
      <c r="P137" s="1"/>
      <c r="Q137" s="1"/>
      <c r="R137" s="1"/>
      <c r="S137" s="1"/>
      <c r="T137" s="61"/>
      <c r="U137" s="1"/>
    </row>
    <row r="138" spans="1:21" x14ac:dyDescent="0.25">
      <c r="A138" s="7"/>
      <c r="B138" s="45" t="s">
        <v>53</v>
      </c>
      <c r="C138" s="85"/>
      <c r="D138" s="86"/>
      <c r="E138" s="86"/>
      <c r="F138" s="86"/>
      <c r="G138" s="86"/>
      <c r="H138" s="87"/>
      <c r="J138" s="88" t="s">
        <v>54</v>
      </c>
      <c r="K138" s="89"/>
      <c r="L138" s="89"/>
      <c r="M138" s="89"/>
      <c r="N138" s="89"/>
      <c r="O138" s="89"/>
      <c r="P138" s="89"/>
      <c r="Q138" s="89"/>
      <c r="R138" s="89"/>
      <c r="S138" s="89"/>
      <c r="T138" s="90"/>
      <c r="U138" s="1"/>
    </row>
    <row r="139" spans="1:21" ht="30" x14ac:dyDescent="0.25">
      <c r="A139" s="41" t="s">
        <v>55</v>
      </c>
      <c r="B139" s="91" t="s">
        <v>56</v>
      </c>
      <c r="C139" s="92"/>
      <c r="D139" s="41" t="s">
        <v>57</v>
      </c>
      <c r="E139" s="41" t="s">
        <v>58</v>
      </c>
      <c r="F139" s="41" t="s">
        <v>59</v>
      </c>
      <c r="G139" s="41" t="s">
        <v>60</v>
      </c>
      <c r="H139" s="41" t="s">
        <v>61</v>
      </c>
      <c r="I139" s="8"/>
      <c r="J139" s="41" t="s">
        <v>62</v>
      </c>
      <c r="K139" s="41" t="s">
        <v>63</v>
      </c>
      <c r="L139" s="41" t="s">
        <v>64</v>
      </c>
      <c r="M139" s="41" t="s">
        <v>65</v>
      </c>
      <c r="N139" s="41" t="s">
        <v>66</v>
      </c>
      <c r="O139" s="41" t="s">
        <v>67</v>
      </c>
      <c r="P139" s="41" t="s">
        <v>68</v>
      </c>
      <c r="Q139" s="41" t="s">
        <v>69</v>
      </c>
      <c r="R139" s="41" t="s">
        <v>70</v>
      </c>
      <c r="S139" s="41" t="s">
        <v>71</v>
      </c>
      <c r="T139" s="62" t="s">
        <v>72</v>
      </c>
      <c r="U139" s="1"/>
    </row>
    <row r="140" spans="1:21" x14ac:dyDescent="0.25">
      <c r="A140" s="7"/>
      <c r="B140" s="7"/>
      <c r="C140" s="7"/>
      <c r="D140" s="7"/>
      <c r="E140" s="7"/>
      <c r="F140" s="7"/>
      <c r="G140" s="7"/>
      <c r="H140" s="7"/>
      <c r="J140" s="93" t="s">
        <v>73</v>
      </c>
      <c r="K140" s="7"/>
      <c r="L140" s="7"/>
      <c r="M140" s="7"/>
      <c r="N140" s="7"/>
      <c r="O140" s="7"/>
      <c r="P140" s="7"/>
      <c r="Q140" s="72" t="str">
        <f>IF(K140="","",SUM(K140:P140))</f>
        <v/>
      </c>
      <c r="R140" s="72" t="str">
        <f>IF(Q140="","",(1100-(Q140*50)))</f>
        <v/>
      </c>
      <c r="S140" s="72" t="str">
        <f>IF(Q140="","",IF($Q$144="",(1100-(Q140*50)),(1100-((($Q$144/COUNTA($A$140:$A$143))+Q140)*50))))</f>
        <v/>
      </c>
      <c r="T140" s="96">
        <f>IF(B144="",SUM(R140:R143),SUM(S140:S143))</f>
        <v>0</v>
      </c>
      <c r="U140" s="1"/>
    </row>
    <row r="141" spans="1:21" x14ac:dyDescent="0.25">
      <c r="A141" s="7"/>
      <c r="B141" s="7"/>
      <c r="C141" s="7"/>
      <c r="D141" s="7"/>
      <c r="E141" s="7"/>
      <c r="F141" s="7"/>
      <c r="G141" s="7"/>
      <c r="H141" s="7"/>
      <c r="J141" s="94"/>
      <c r="K141" s="7"/>
      <c r="L141" s="7"/>
      <c r="M141" s="7"/>
      <c r="N141" s="7"/>
      <c r="O141" s="7"/>
      <c r="P141" s="7"/>
      <c r="Q141" s="72" t="str">
        <f>IF(K141="","",SUM(K141:P141))</f>
        <v/>
      </c>
      <c r="R141" s="72" t="str">
        <f t="shared" ref="R141:R143" si="34">IF(Q141="","",(1100-(Q141*50)))</f>
        <v/>
      </c>
      <c r="S141" s="72" t="str">
        <f t="shared" ref="S141:S143" si="35">IF(Q141="","",IF($Q$144="",(1100-(Q141*50)),(1100-((($Q$144/COUNTA($A$140:$A$143))+Q141)*50))))</f>
        <v/>
      </c>
      <c r="T141" s="97"/>
      <c r="U141" s="1"/>
    </row>
    <row r="142" spans="1:21" x14ac:dyDescent="0.25">
      <c r="A142" s="7"/>
      <c r="B142" s="7"/>
      <c r="C142" s="7"/>
      <c r="D142" s="7"/>
      <c r="E142" s="7"/>
      <c r="F142" s="7"/>
      <c r="G142" s="7"/>
      <c r="H142" s="7"/>
      <c r="J142" s="94"/>
      <c r="K142" s="7"/>
      <c r="L142" s="7"/>
      <c r="M142" s="7"/>
      <c r="N142" s="7"/>
      <c r="O142" s="7"/>
      <c r="P142" s="7"/>
      <c r="Q142" s="72" t="str">
        <f>IF(K142="","",SUM(K142:P142))</f>
        <v/>
      </c>
      <c r="R142" s="72" t="str">
        <f t="shared" si="34"/>
        <v/>
      </c>
      <c r="S142" s="72" t="str">
        <f t="shared" si="35"/>
        <v/>
      </c>
      <c r="T142" s="97"/>
      <c r="U142" s="1"/>
    </row>
    <row r="143" spans="1:21" x14ac:dyDescent="0.25">
      <c r="A143" s="7"/>
      <c r="B143" s="7"/>
      <c r="C143" s="7"/>
      <c r="D143" s="7"/>
      <c r="E143" s="7"/>
      <c r="F143" s="7"/>
      <c r="G143" s="7"/>
      <c r="H143" s="7"/>
      <c r="J143" s="94"/>
      <c r="K143" s="7"/>
      <c r="L143" s="7"/>
      <c r="M143" s="7"/>
      <c r="N143" s="7"/>
      <c r="O143" s="7"/>
      <c r="P143" s="7"/>
      <c r="Q143" s="72" t="str">
        <f>IF(K143="","",SUM(K143:P143))</f>
        <v/>
      </c>
      <c r="R143" s="72" t="str">
        <f t="shared" si="34"/>
        <v/>
      </c>
      <c r="S143" s="72" t="str">
        <f t="shared" si="35"/>
        <v/>
      </c>
      <c r="T143" s="97"/>
      <c r="U143" s="1"/>
    </row>
    <row r="144" spans="1:21" x14ac:dyDescent="0.25">
      <c r="A144" s="7"/>
      <c r="B144" s="7"/>
      <c r="C144" s="7"/>
      <c r="D144" s="7"/>
      <c r="E144" s="70" t="s">
        <v>74</v>
      </c>
      <c r="F144" s="49"/>
      <c r="G144" s="7"/>
      <c r="H144" s="50"/>
      <c r="J144" s="95"/>
      <c r="K144" s="7"/>
      <c r="L144" s="72" t="str">
        <f>IF(B144="","",(AVERAGE(L140:L143)))</f>
        <v/>
      </c>
      <c r="M144" s="7"/>
      <c r="N144" s="7"/>
      <c r="O144" s="7"/>
      <c r="P144" s="7"/>
      <c r="Q144" s="72" t="str">
        <f>IF(K144="","",SUM(K144:P144))</f>
        <v/>
      </c>
      <c r="R144" s="72" t="str">
        <f>IF(Q144="","",(1100-(Q144*50)))</f>
        <v/>
      </c>
      <c r="S144" s="72"/>
      <c r="T144" s="98"/>
      <c r="U144" s="1"/>
    </row>
    <row r="145" spans="1:21" x14ac:dyDescent="0.25">
      <c r="A145" s="1"/>
      <c r="B145" s="1"/>
      <c r="C145" s="1"/>
      <c r="D145" s="1"/>
      <c r="E145" s="1"/>
      <c r="F145" s="1"/>
      <c r="G145" s="1"/>
      <c r="H145" s="1"/>
      <c r="I145" s="1"/>
      <c r="J145" s="1"/>
      <c r="K145" s="1"/>
      <c r="L145" s="1"/>
      <c r="M145" s="1"/>
      <c r="N145" s="1"/>
      <c r="O145" s="1"/>
      <c r="P145" s="1"/>
      <c r="Q145" s="1"/>
      <c r="R145" s="1"/>
      <c r="S145" s="1"/>
      <c r="T145" s="61"/>
      <c r="U145" s="1"/>
    </row>
    <row r="146" spans="1:21" x14ac:dyDescent="0.25">
      <c r="A146" s="7"/>
      <c r="B146" s="45" t="s">
        <v>53</v>
      </c>
      <c r="C146" s="85"/>
      <c r="D146" s="86"/>
      <c r="E146" s="86"/>
      <c r="F146" s="86"/>
      <c r="G146" s="86"/>
      <c r="H146" s="87"/>
      <c r="J146" s="88" t="s">
        <v>54</v>
      </c>
      <c r="K146" s="89"/>
      <c r="L146" s="89"/>
      <c r="M146" s="89"/>
      <c r="N146" s="89"/>
      <c r="O146" s="89"/>
      <c r="P146" s="89"/>
      <c r="Q146" s="89"/>
      <c r="R146" s="89"/>
      <c r="S146" s="89"/>
      <c r="T146" s="90"/>
      <c r="U146" s="1"/>
    </row>
    <row r="147" spans="1:21" ht="30" x14ac:dyDescent="0.25">
      <c r="A147" s="41" t="s">
        <v>55</v>
      </c>
      <c r="B147" s="91" t="s">
        <v>56</v>
      </c>
      <c r="C147" s="92"/>
      <c r="D147" s="41" t="s">
        <v>57</v>
      </c>
      <c r="E147" s="41" t="s">
        <v>58</v>
      </c>
      <c r="F147" s="41" t="s">
        <v>59</v>
      </c>
      <c r="G147" s="41" t="s">
        <v>60</v>
      </c>
      <c r="H147" s="41" t="s">
        <v>61</v>
      </c>
      <c r="I147" s="8"/>
      <c r="J147" s="41" t="s">
        <v>62</v>
      </c>
      <c r="K147" s="41" t="s">
        <v>63</v>
      </c>
      <c r="L147" s="41" t="s">
        <v>64</v>
      </c>
      <c r="M147" s="41" t="s">
        <v>65</v>
      </c>
      <c r="N147" s="41" t="s">
        <v>66</v>
      </c>
      <c r="O147" s="41" t="s">
        <v>67</v>
      </c>
      <c r="P147" s="41" t="s">
        <v>68</v>
      </c>
      <c r="Q147" s="41" t="s">
        <v>69</v>
      </c>
      <c r="R147" s="41" t="s">
        <v>70</v>
      </c>
      <c r="S147" s="41" t="s">
        <v>71</v>
      </c>
      <c r="T147" s="62" t="s">
        <v>72</v>
      </c>
      <c r="U147" s="1"/>
    </row>
    <row r="148" spans="1:21" x14ac:dyDescent="0.25">
      <c r="A148" s="7"/>
      <c r="B148" s="7"/>
      <c r="C148" s="7"/>
      <c r="D148" s="7"/>
      <c r="E148" s="7"/>
      <c r="F148" s="7"/>
      <c r="G148" s="7"/>
      <c r="H148" s="7"/>
      <c r="J148" s="93" t="s">
        <v>73</v>
      </c>
      <c r="K148" s="7"/>
      <c r="L148" s="7"/>
      <c r="M148" s="7"/>
      <c r="N148" s="7"/>
      <c r="O148" s="7"/>
      <c r="P148" s="7"/>
      <c r="Q148" s="72" t="str">
        <f>IF(K148="","",SUM(K148:P148))</f>
        <v/>
      </c>
      <c r="R148" s="72" t="str">
        <f>IF(Q148="","",(1100-(Q148*50)))</f>
        <v/>
      </c>
      <c r="S148" s="72" t="str">
        <f>IF(Q148="","",IF($Q$152="",(1100-(Q148*50)),(1100-((($Q$152/COUNTA($A$148:$A$151))+Q148)*50))))</f>
        <v/>
      </c>
      <c r="T148" s="96">
        <f>IF(B152="",SUM(R148:R151),SUM(S148:S151))</f>
        <v>0</v>
      </c>
      <c r="U148" s="1"/>
    </row>
    <row r="149" spans="1:21" x14ac:dyDescent="0.25">
      <c r="A149" s="7"/>
      <c r="B149" s="7"/>
      <c r="C149" s="7"/>
      <c r="D149" s="7"/>
      <c r="E149" s="7"/>
      <c r="F149" s="7"/>
      <c r="G149" s="7"/>
      <c r="H149" s="7"/>
      <c r="J149" s="94"/>
      <c r="K149" s="7"/>
      <c r="L149" s="7"/>
      <c r="M149" s="7"/>
      <c r="N149" s="7"/>
      <c r="O149" s="7"/>
      <c r="P149" s="7"/>
      <c r="Q149" s="72" t="str">
        <f>IF(K149="","",SUM(K149:P149))</f>
        <v/>
      </c>
      <c r="R149" s="72" t="str">
        <f t="shared" ref="R149:R151" si="36">IF(Q149="","",(1100-(Q149*50)))</f>
        <v/>
      </c>
      <c r="S149" s="72" t="str">
        <f t="shared" ref="S149:S151" si="37">IF(Q149="","",IF($Q$152="",(1100-(Q149*50)),(1100-((($Q$152/COUNTA($A$148:$A$151))+Q149)*50))))</f>
        <v/>
      </c>
      <c r="T149" s="97"/>
      <c r="U149" s="1"/>
    </row>
    <row r="150" spans="1:21" x14ac:dyDescent="0.25">
      <c r="A150" s="7"/>
      <c r="B150" s="7"/>
      <c r="C150" s="7"/>
      <c r="D150" s="7"/>
      <c r="E150" s="7"/>
      <c r="F150" s="7"/>
      <c r="G150" s="7"/>
      <c r="H150" s="7"/>
      <c r="J150" s="94"/>
      <c r="K150" s="7"/>
      <c r="L150" s="7"/>
      <c r="M150" s="7"/>
      <c r="N150" s="7"/>
      <c r="O150" s="7"/>
      <c r="P150" s="7"/>
      <c r="Q150" s="72" t="str">
        <f>IF(K150="","",SUM(K150:P150))</f>
        <v/>
      </c>
      <c r="R150" s="72" t="str">
        <f t="shared" si="36"/>
        <v/>
      </c>
      <c r="S150" s="72" t="str">
        <f t="shared" si="37"/>
        <v/>
      </c>
      <c r="T150" s="97"/>
      <c r="U150" s="1"/>
    </row>
    <row r="151" spans="1:21" x14ac:dyDescent="0.25">
      <c r="A151" s="7"/>
      <c r="B151" s="7"/>
      <c r="C151" s="7"/>
      <c r="D151" s="7"/>
      <c r="E151" s="7"/>
      <c r="F151" s="7"/>
      <c r="G151" s="7"/>
      <c r="H151" s="7"/>
      <c r="J151" s="94"/>
      <c r="K151" s="7"/>
      <c r="L151" s="7"/>
      <c r="M151" s="7"/>
      <c r="N151" s="7"/>
      <c r="O151" s="7"/>
      <c r="P151" s="7"/>
      <c r="Q151" s="72" t="str">
        <f>IF(K151="","",SUM(K151:P151))</f>
        <v/>
      </c>
      <c r="R151" s="72" t="str">
        <f t="shared" si="36"/>
        <v/>
      </c>
      <c r="S151" s="72" t="str">
        <f t="shared" si="37"/>
        <v/>
      </c>
      <c r="T151" s="97"/>
      <c r="U151" s="1"/>
    </row>
    <row r="152" spans="1:21" x14ac:dyDescent="0.25">
      <c r="A152" s="7"/>
      <c r="B152" s="7"/>
      <c r="C152" s="7"/>
      <c r="D152" s="7"/>
      <c r="E152" s="70" t="s">
        <v>74</v>
      </c>
      <c r="F152" s="49"/>
      <c r="G152" s="7"/>
      <c r="H152" s="50"/>
      <c r="J152" s="95"/>
      <c r="K152" s="7"/>
      <c r="L152" s="72" t="str">
        <f>IF(B152="","",(AVERAGE(L148:L151)))</f>
        <v/>
      </c>
      <c r="M152" s="7"/>
      <c r="N152" s="7"/>
      <c r="O152" s="7"/>
      <c r="P152" s="7"/>
      <c r="Q152" s="72" t="str">
        <f>IF(K152="","",SUM(K152:P152))</f>
        <v/>
      </c>
      <c r="R152" s="72" t="str">
        <f>IF(Q152="","",(1100-(Q152*50)))</f>
        <v/>
      </c>
      <c r="S152" s="72"/>
      <c r="T152" s="98"/>
      <c r="U152" s="1"/>
    </row>
    <row r="154" spans="1:21" x14ac:dyDescent="0.25">
      <c r="A154" s="7"/>
      <c r="B154" s="45" t="s">
        <v>53</v>
      </c>
      <c r="C154" s="85"/>
      <c r="D154" s="86"/>
      <c r="E154" s="86"/>
      <c r="F154" s="86"/>
      <c r="G154" s="86"/>
      <c r="H154" s="87"/>
      <c r="J154" s="88" t="s">
        <v>54</v>
      </c>
      <c r="K154" s="89"/>
      <c r="L154" s="89"/>
      <c r="M154" s="89"/>
      <c r="N154" s="89"/>
      <c r="O154" s="89"/>
      <c r="P154" s="89"/>
      <c r="Q154" s="89"/>
      <c r="R154" s="89"/>
      <c r="S154" s="89"/>
      <c r="T154" s="90"/>
    </row>
    <row r="155" spans="1:21" ht="30" x14ac:dyDescent="0.25">
      <c r="A155" s="41" t="s">
        <v>55</v>
      </c>
      <c r="B155" s="91" t="s">
        <v>56</v>
      </c>
      <c r="C155" s="92"/>
      <c r="D155" s="41" t="s">
        <v>57</v>
      </c>
      <c r="E155" s="41" t="s">
        <v>58</v>
      </c>
      <c r="F155" s="41" t="s">
        <v>59</v>
      </c>
      <c r="G155" s="41" t="s">
        <v>60</v>
      </c>
      <c r="H155" s="41" t="s">
        <v>61</v>
      </c>
      <c r="I155" s="8"/>
      <c r="J155" s="41" t="s">
        <v>62</v>
      </c>
      <c r="K155" s="41" t="s">
        <v>63</v>
      </c>
      <c r="L155" s="41" t="s">
        <v>64</v>
      </c>
      <c r="M155" s="41" t="s">
        <v>65</v>
      </c>
      <c r="N155" s="41" t="s">
        <v>66</v>
      </c>
      <c r="O155" s="41" t="s">
        <v>67</v>
      </c>
      <c r="P155" s="41" t="s">
        <v>68</v>
      </c>
      <c r="Q155" s="41" t="s">
        <v>69</v>
      </c>
      <c r="R155" s="41" t="s">
        <v>70</v>
      </c>
      <c r="S155" s="41" t="s">
        <v>71</v>
      </c>
      <c r="T155" s="62" t="s">
        <v>72</v>
      </c>
    </row>
    <row r="156" spans="1:21" x14ac:dyDescent="0.25">
      <c r="A156" s="7"/>
      <c r="B156" s="7"/>
      <c r="C156" s="7"/>
      <c r="D156" s="7"/>
      <c r="E156" s="7"/>
      <c r="F156" s="7"/>
      <c r="G156" s="7"/>
      <c r="H156" s="7"/>
      <c r="J156" s="93" t="s">
        <v>73</v>
      </c>
      <c r="K156" s="7"/>
      <c r="L156" s="7"/>
      <c r="M156" s="7"/>
      <c r="N156" s="7"/>
      <c r="O156" s="7"/>
      <c r="P156" s="7"/>
      <c r="Q156" s="72" t="str">
        <f>IF(K156="","",SUM(K156:P156))</f>
        <v/>
      </c>
      <c r="R156" s="72" t="str">
        <f>IF(Q156="","",(1100-(Q156*50)))</f>
        <v/>
      </c>
      <c r="S156" s="72" t="str">
        <f>IF(Q156="","",IF($Q$160="",(1100-(Q156*50)),(1100-((($Q$160/COUNTA($A$156:$A$159))+Q156)*50))))</f>
        <v/>
      </c>
      <c r="T156" s="96">
        <f>IF(B160="",SUM(R156:R159),SUM(S156:S159))</f>
        <v>0</v>
      </c>
    </row>
    <row r="157" spans="1:21" x14ac:dyDescent="0.25">
      <c r="A157" s="7"/>
      <c r="B157" s="7"/>
      <c r="C157" s="7"/>
      <c r="D157" s="7"/>
      <c r="E157" s="7"/>
      <c r="F157" s="7"/>
      <c r="G157" s="7"/>
      <c r="H157" s="7"/>
      <c r="J157" s="94"/>
      <c r="K157" s="7"/>
      <c r="L157" s="7"/>
      <c r="M157" s="7"/>
      <c r="N157" s="7"/>
      <c r="O157" s="7"/>
      <c r="P157" s="7"/>
      <c r="Q157" s="72" t="str">
        <f>IF(K157="","",SUM(K157:P157))</f>
        <v/>
      </c>
      <c r="R157" s="72" t="str">
        <f t="shared" ref="R157:R159" si="38">IF(Q157="","",(1100-(Q157*50)))</f>
        <v/>
      </c>
      <c r="S157" s="72" t="str">
        <f t="shared" ref="S157:S159" si="39">IF(Q157="","",IF($Q$160="",(1100-(Q157*50)),(1100-((($Q$160/COUNTA($A$156:$A$159))+Q157)*50))))</f>
        <v/>
      </c>
      <c r="T157" s="97"/>
    </row>
    <row r="158" spans="1:21" x14ac:dyDescent="0.25">
      <c r="A158" s="7"/>
      <c r="B158" s="7"/>
      <c r="C158" s="7"/>
      <c r="D158" s="7"/>
      <c r="E158" s="7"/>
      <c r="F158" s="7"/>
      <c r="G158" s="7"/>
      <c r="H158" s="7"/>
      <c r="J158" s="94"/>
      <c r="K158" s="7"/>
      <c r="L158" s="7"/>
      <c r="M158" s="7"/>
      <c r="N158" s="7"/>
      <c r="O158" s="7"/>
      <c r="P158" s="7"/>
      <c r="Q158" s="72" t="str">
        <f>IF(K158="","",SUM(K158:P158))</f>
        <v/>
      </c>
      <c r="R158" s="72" t="str">
        <f t="shared" si="38"/>
        <v/>
      </c>
      <c r="S158" s="72" t="str">
        <f t="shared" si="39"/>
        <v/>
      </c>
      <c r="T158" s="97"/>
    </row>
    <row r="159" spans="1:21" x14ac:dyDescent="0.25">
      <c r="A159" s="7"/>
      <c r="B159" s="7"/>
      <c r="C159" s="7"/>
      <c r="D159" s="7"/>
      <c r="E159" s="7"/>
      <c r="F159" s="7"/>
      <c r="G159" s="7"/>
      <c r="H159" s="7"/>
      <c r="J159" s="94"/>
      <c r="K159" s="7"/>
      <c r="L159" s="7"/>
      <c r="M159" s="7"/>
      <c r="N159" s="7"/>
      <c r="O159" s="7"/>
      <c r="P159" s="7"/>
      <c r="Q159" s="72" t="str">
        <f>IF(K159="","",SUM(K159:P159))</f>
        <v/>
      </c>
      <c r="R159" s="72" t="str">
        <f t="shared" si="38"/>
        <v/>
      </c>
      <c r="S159" s="72" t="str">
        <f t="shared" si="39"/>
        <v/>
      </c>
      <c r="T159" s="97"/>
    </row>
    <row r="160" spans="1:21" x14ac:dyDescent="0.25">
      <c r="A160" s="7"/>
      <c r="B160" s="7"/>
      <c r="C160" s="7"/>
      <c r="D160" s="7"/>
      <c r="E160" s="70" t="s">
        <v>74</v>
      </c>
      <c r="F160" s="49"/>
      <c r="G160" s="7"/>
      <c r="H160" s="50"/>
      <c r="J160" s="95"/>
      <c r="K160" s="7"/>
      <c r="L160" s="72" t="str">
        <f>IF(B160="","",(AVERAGE(L156:L159)))</f>
        <v/>
      </c>
      <c r="M160" s="7"/>
      <c r="N160" s="7"/>
      <c r="O160" s="7"/>
      <c r="P160" s="7"/>
      <c r="Q160" s="72" t="str">
        <f>IF(K160="","",SUM(K160:P160))</f>
        <v/>
      </c>
      <c r="R160" s="72" t="str">
        <f>IF(Q160="","",(1100-(Q160*50)))</f>
        <v/>
      </c>
      <c r="S160" s="72"/>
      <c r="T160" s="98"/>
    </row>
  </sheetData>
  <sheetProtection algorithmName="SHA-512" hashValue="TSdJspbN+fGSpFAxVBX0bUqAkiHGlqpVkZ4qnsJKsurtCAqLliuAs9eyM29HgEs215+aDrx6TURiicHqGggSLg==" saltValue="ahRHX1sqgdaiCu5MxTWUaQ==" spinCount="100000" sheet="1" objects="1" scenarios="1"/>
  <mergeCells count="101">
    <mergeCell ref="B139:C139"/>
    <mergeCell ref="J140:J144"/>
    <mergeCell ref="T140:T144"/>
    <mergeCell ref="B123:C123"/>
    <mergeCell ref="J124:J128"/>
    <mergeCell ref="T124:T128"/>
    <mergeCell ref="C130:H130"/>
    <mergeCell ref="J130:T130"/>
    <mergeCell ref="B131:C131"/>
    <mergeCell ref="J132:J136"/>
    <mergeCell ref="T132:T136"/>
    <mergeCell ref="C138:H138"/>
    <mergeCell ref="J138:T138"/>
    <mergeCell ref="B91:C91"/>
    <mergeCell ref="J92:J96"/>
    <mergeCell ref="T92:T96"/>
    <mergeCell ref="C98:H98"/>
    <mergeCell ref="J98:T98"/>
    <mergeCell ref="B99:C99"/>
    <mergeCell ref="J100:J104"/>
    <mergeCell ref="T100:T104"/>
    <mergeCell ref="C122:H122"/>
    <mergeCell ref="J122:T122"/>
    <mergeCell ref="C106:H106"/>
    <mergeCell ref="J106:T106"/>
    <mergeCell ref="B107:C107"/>
    <mergeCell ref="J108:J112"/>
    <mergeCell ref="T108:T112"/>
    <mergeCell ref="C114:H114"/>
    <mergeCell ref="J114:T114"/>
    <mergeCell ref="B115:C115"/>
    <mergeCell ref="J116:J120"/>
    <mergeCell ref="T116:T120"/>
    <mergeCell ref="B75:C75"/>
    <mergeCell ref="J76:J80"/>
    <mergeCell ref="T76:T80"/>
    <mergeCell ref="C82:H82"/>
    <mergeCell ref="J82:T82"/>
    <mergeCell ref="B83:C83"/>
    <mergeCell ref="J84:J88"/>
    <mergeCell ref="T84:T88"/>
    <mergeCell ref="C90:H90"/>
    <mergeCell ref="J90:T90"/>
    <mergeCell ref="B43:C43"/>
    <mergeCell ref="J44:J48"/>
    <mergeCell ref="T44:T48"/>
    <mergeCell ref="C66:H66"/>
    <mergeCell ref="J66:T66"/>
    <mergeCell ref="B67:C67"/>
    <mergeCell ref="J68:J72"/>
    <mergeCell ref="T68:T72"/>
    <mergeCell ref="C74:H74"/>
    <mergeCell ref="J74:T74"/>
    <mergeCell ref="C50:H50"/>
    <mergeCell ref="J50:T50"/>
    <mergeCell ref="B51:C51"/>
    <mergeCell ref="J52:J56"/>
    <mergeCell ref="T52:T56"/>
    <mergeCell ref="C58:H58"/>
    <mergeCell ref="J58:T58"/>
    <mergeCell ref="B59:C59"/>
    <mergeCell ref="J60:J64"/>
    <mergeCell ref="T60:T64"/>
    <mergeCell ref="B27:C27"/>
    <mergeCell ref="J28:J32"/>
    <mergeCell ref="T28:T32"/>
    <mergeCell ref="C34:H34"/>
    <mergeCell ref="J34:T34"/>
    <mergeCell ref="B35:C35"/>
    <mergeCell ref="J36:J40"/>
    <mergeCell ref="T36:T40"/>
    <mergeCell ref="C42:H42"/>
    <mergeCell ref="J42:T42"/>
    <mergeCell ref="J12:J16"/>
    <mergeCell ref="T12:T16"/>
    <mergeCell ref="C18:H18"/>
    <mergeCell ref="J18:T18"/>
    <mergeCell ref="B19:C19"/>
    <mergeCell ref="J20:J24"/>
    <mergeCell ref="T20:T24"/>
    <mergeCell ref="C26:H26"/>
    <mergeCell ref="J26:T26"/>
    <mergeCell ref="A1:T1"/>
    <mergeCell ref="B3:C3"/>
    <mergeCell ref="C10:H10"/>
    <mergeCell ref="J10:T10"/>
    <mergeCell ref="B11:C11"/>
    <mergeCell ref="C2:H2"/>
    <mergeCell ref="J2:T2"/>
    <mergeCell ref="J4:J8"/>
    <mergeCell ref="T4:T8"/>
    <mergeCell ref="C146:H146"/>
    <mergeCell ref="J146:T146"/>
    <mergeCell ref="B147:C147"/>
    <mergeCell ref="J148:J152"/>
    <mergeCell ref="T148:T152"/>
    <mergeCell ref="C154:H154"/>
    <mergeCell ref="J154:T154"/>
    <mergeCell ref="B155:C155"/>
    <mergeCell ref="J156:J160"/>
    <mergeCell ref="T156:T160"/>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'Instructions &amp; Reference'!$B$201:$B$220</xm:f>
          </x14:formula1>
          <xm:sqref>A2 A10 A18 A26 A34 A42 A50 A58 A66 A74 A82 A90 A98 A106 A114 A122 A130 A138 A146 A154</xm:sqref>
        </x14:dataValidation>
        <x14:dataValidation type="list" allowBlank="1" showInputMessage="1" showErrorMessage="1" xr:uid="{00000000-0002-0000-0100-000001000000}">
          <x14:formula1>
            <xm:f>'Instructions &amp; Reference'!$D$201</xm:f>
          </x14:formula1>
          <xm:sqref>C4:C8 C12:C16 C20:C24 C28:C32 C36:C40 C44:C48 C52:C56 C60:C64 C68:C72 C76:C80 C84:C88 C92:C96 C100:C104 C108:C112 C116:C120 C124:C128 C132:C136 C140:C144 C148:C152 C156:C160</xm:sqref>
        </x14:dataValidation>
        <x14:dataValidation type="list" allowBlank="1" showInputMessage="1" showErrorMessage="1" xr:uid="{00000000-0002-0000-0100-000002000000}">
          <x14:formula1>
            <xm:f>'Instructions &amp; Reference'!$I$201:$I$210</xm:f>
          </x14:formula1>
          <xm:sqref>F4:F8 F12:F16 F20:F24 F28:F32 F36:F40 F44:F48 F52:F56 F60:F64 F68:F72 F76:F80 F84:F88 F92:F96 F100:F104 F108:F112 F116:F120 F124:F128 F132:F136 F140:F144 F148:F152 F156:F160</xm:sqref>
        </x14:dataValidation>
        <x14:dataValidation type="list" allowBlank="1" showInputMessage="1" showErrorMessage="1" xr:uid="{00000000-0002-0000-0100-000003000000}">
          <x14:formula1>
            <xm:f>'Instructions &amp; Reference'!$E$201:$E$208</xm:f>
          </x14:formula1>
          <xm:sqref>G4:G8 G12:G16 G20:G24 G28:G32 G36:G40 G44:G48 G52:G56 G60:G64 G68:G72 G76:G80 G84:G88 G92:G96 G100:G104 G108:G112 G116:G120 G124:G128 G132:G136 G140:G144 G148:G152 G156:G160</xm:sqref>
        </x14:dataValidation>
        <x14:dataValidation type="list" allowBlank="1" showInputMessage="1" showErrorMessage="1" xr:uid="{00000000-0002-0000-0100-000004000000}">
          <x14:formula1>
            <xm:f>'Instructions &amp; Reference'!$C$6:$C$17</xm:f>
          </x14:formula1>
          <xm:sqref>H4:H8 H12:H16 H20:H24 H28:H32 H36:H40 H44:H48 H52:H56 H60:H64 H68:H72 H76:H80 H84:H88 H92:H96 H100:H104 H108:H112 H116:H120 H124:H128 H132:H136 H140:H144 H148:H152 H156:H160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Y103"/>
  <sheetViews>
    <sheetView topLeftCell="B1" zoomScale="90" zoomScaleNormal="90" workbookViewId="0">
      <pane ySplit="2" topLeftCell="A3" activePane="bottomLeft" state="frozen"/>
      <selection pane="bottomLeft" activeCell="U10" sqref="U10"/>
    </sheetView>
  </sheetViews>
  <sheetFormatPr defaultRowHeight="15" x14ac:dyDescent="0.25"/>
  <cols>
    <col min="1" max="1" width="9.140625" style="11"/>
    <col min="2" max="2" width="20" style="11" bestFit="1" customWidth="1"/>
    <col min="3" max="3" width="4.85546875" style="11" customWidth="1"/>
    <col min="4" max="4" width="20.85546875" style="11" customWidth="1"/>
    <col min="5" max="5" width="2.5703125" style="11" customWidth="1"/>
    <col min="6" max="6" width="15" style="11" customWidth="1"/>
    <col min="7" max="7" width="16.42578125" style="11" customWidth="1"/>
    <col min="8" max="8" width="2.5703125" style="11" customWidth="1"/>
    <col min="9" max="9" width="9.140625" style="11"/>
    <col min="10" max="10" width="12.5703125" style="11" bestFit="1" customWidth="1"/>
    <col min="11" max="13" width="9.140625" style="11"/>
    <col min="14" max="14" width="2.42578125" style="11" customWidth="1"/>
    <col min="15" max="15" width="9.140625" style="11"/>
    <col min="16" max="16" width="12.5703125" style="11" bestFit="1" customWidth="1"/>
    <col min="17" max="19" width="9.140625" style="11"/>
    <col min="20" max="20" width="2.5703125" style="6" customWidth="1"/>
    <col min="21" max="21" width="14.140625" style="13" customWidth="1"/>
    <col min="22" max="23" width="9.140625" style="13"/>
    <col min="24" max="24" width="10.7109375" style="13" bestFit="1" customWidth="1"/>
    <col min="25" max="25" width="10.85546875" style="6" customWidth="1"/>
    <col min="26" max="16384" width="9.140625" style="6"/>
  </cols>
  <sheetData>
    <row r="1" spans="1:25" ht="25.5" customHeight="1" x14ac:dyDescent="0.25">
      <c r="A1" s="112" t="str">
        <f>IF('Teams &amp; HM'!A1="","",'Teams &amp; HM'!A1)</f>
        <v/>
      </c>
      <c r="B1" s="113"/>
      <c r="C1" s="113"/>
      <c r="D1" s="114"/>
      <c r="E1" s="23"/>
      <c r="F1" s="24" t="s">
        <v>75</v>
      </c>
      <c r="G1" s="115" t="s">
        <v>76</v>
      </c>
      <c r="H1" s="23"/>
      <c r="I1" s="111" t="s">
        <v>77</v>
      </c>
      <c r="J1" s="111"/>
      <c r="K1" s="111"/>
      <c r="L1" s="111"/>
      <c r="M1" s="111"/>
      <c r="N1" s="33"/>
      <c r="O1" s="111" t="s">
        <v>78</v>
      </c>
      <c r="P1" s="111"/>
      <c r="Q1" s="111"/>
      <c r="R1" s="111"/>
      <c r="S1" s="111"/>
      <c r="T1" s="1"/>
      <c r="U1" s="117" t="s">
        <v>79</v>
      </c>
      <c r="V1" s="118"/>
      <c r="W1" s="118"/>
      <c r="X1" s="118"/>
      <c r="Y1" s="119"/>
    </row>
    <row r="2" spans="1:25" ht="26.25" x14ac:dyDescent="0.25">
      <c r="A2" s="69" t="s">
        <v>80</v>
      </c>
      <c r="B2" s="69" t="s">
        <v>61</v>
      </c>
      <c r="C2" s="69" t="s">
        <v>55</v>
      </c>
      <c r="D2" s="69" t="s">
        <v>81</v>
      </c>
      <c r="E2" s="26"/>
      <c r="F2" s="27" t="s">
        <v>82</v>
      </c>
      <c r="G2" s="116"/>
      <c r="H2" s="26"/>
      <c r="I2" s="69" t="s">
        <v>83</v>
      </c>
      <c r="J2" s="69" t="s">
        <v>84</v>
      </c>
      <c r="K2" s="69" t="s">
        <v>85</v>
      </c>
      <c r="L2" s="69" t="s">
        <v>86</v>
      </c>
      <c r="M2" s="69" t="s">
        <v>87</v>
      </c>
      <c r="N2" s="33"/>
      <c r="O2" s="69" t="s">
        <v>83</v>
      </c>
      <c r="P2" s="69" t="s">
        <v>84</v>
      </c>
      <c r="Q2" s="69" t="s">
        <v>88</v>
      </c>
      <c r="R2" s="69" t="s">
        <v>86</v>
      </c>
      <c r="S2" s="69" t="s">
        <v>87</v>
      </c>
      <c r="T2" s="1"/>
      <c r="U2" s="43" t="s">
        <v>89</v>
      </c>
      <c r="V2" s="44" t="s">
        <v>77</v>
      </c>
      <c r="W2" s="44" t="s">
        <v>78</v>
      </c>
      <c r="X2" s="44" t="s">
        <v>90</v>
      </c>
      <c r="Y2" s="44" t="s">
        <v>91</v>
      </c>
    </row>
    <row r="3" spans="1:25" x14ac:dyDescent="0.25">
      <c r="A3" s="9" t="str">
        <f>IF('Teams &amp; HM'!A2="","",'Teams &amp; HM'!A2)</f>
        <v/>
      </c>
      <c r="B3" s="72" t="str">
        <f>IF('Teams &amp; HM'!H4="","",'Teams &amp; HM'!H4)</f>
        <v/>
      </c>
      <c r="C3" s="72" t="str">
        <f>IF('Teams &amp; HM'!A4="","",'Teams &amp; HM'!A4)</f>
        <v/>
      </c>
      <c r="D3" s="72" t="str">
        <f>IF('Teams &amp; HM'!B4="","",'Teams &amp; HM'!B4)</f>
        <v/>
      </c>
      <c r="F3" s="7"/>
      <c r="G3" s="7"/>
      <c r="I3" s="64"/>
      <c r="J3" s="7"/>
      <c r="K3" s="7"/>
      <c r="L3" s="7"/>
      <c r="M3" s="72" t="str">
        <f>IF(K3="","",SUM(K3:L3))</f>
        <v/>
      </c>
      <c r="O3" s="64"/>
      <c r="P3" s="7"/>
      <c r="Q3" s="7"/>
      <c r="R3" s="7"/>
      <c r="S3" s="72" t="str">
        <f>IF(Q3="","",SUM(Q3:R3))</f>
        <v/>
      </c>
      <c r="U3" s="7"/>
      <c r="V3" s="73" t="str">
        <f>IF(M3="","",+(1100-J3-M3)/2)</f>
        <v/>
      </c>
      <c r="W3" s="73" t="str">
        <f>IF(S3="","",+(1100-P3-R5)/2)</f>
        <v/>
      </c>
      <c r="X3" s="74" t="str">
        <f>IF(V3="","",(SUM(V3:W3)-U3))</f>
        <v/>
      </c>
      <c r="Y3" s="108" t="str">
        <f>IF(X3="","",IF(COUNT(X3:X6)=4,(SUM(X3:X6)-MIN(X3:X6)),SUM(X3:X5)))</f>
        <v/>
      </c>
    </row>
    <row r="4" spans="1:25" x14ac:dyDescent="0.25">
      <c r="A4" s="9" t="str">
        <f>IF('Teams &amp; HM'!A2="","",'Teams &amp; HM'!A2)</f>
        <v/>
      </c>
      <c r="B4" s="72" t="str">
        <f>IF('Teams &amp; HM'!H5="","",'Teams &amp; HM'!H5)</f>
        <v/>
      </c>
      <c r="C4" s="72" t="str">
        <f>IF('Teams &amp; HM'!A5="","",'Teams &amp; HM'!A5)</f>
        <v/>
      </c>
      <c r="D4" s="72" t="str">
        <f>IF('Teams &amp; HM'!B5="","",'Teams &amp; HM'!B5)</f>
        <v/>
      </c>
      <c r="F4" s="7"/>
      <c r="G4" s="7"/>
      <c r="I4" s="64"/>
      <c r="J4" s="7"/>
      <c r="K4" s="7"/>
      <c r="L4" s="7"/>
      <c r="M4" s="72" t="str">
        <f t="shared" ref="M4:M67" si="0">IF(K4="","",SUM(K4:L4))</f>
        <v/>
      </c>
      <c r="O4" s="64"/>
      <c r="P4" s="7"/>
      <c r="Q4" s="7"/>
      <c r="R4" s="7"/>
      <c r="S4" s="72" t="str">
        <f t="shared" ref="S4:S67" si="1">IF(Q4="","",SUM(Q4:R4))</f>
        <v/>
      </c>
      <c r="U4" s="7"/>
      <c r="V4" s="73" t="str">
        <f t="shared" ref="V4:V34" si="2">IF(M4="","",+(1100-J4-M4)/2)</f>
        <v/>
      </c>
      <c r="W4" s="73" t="str">
        <f t="shared" ref="W4:W67" si="3">IF(S4="","",+(1100-P4-R6)/2)</f>
        <v/>
      </c>
      <c r="X4" s="74" t="str">
        <f t="shared" ref="X4:X67" si="4">IF(V4="","",(SUM(V4:W4)-U4))</f>
        <v/>
      </c>
      <c r="Y4" s="109"/>
    </row>
    <row r="5" spans="1:25" x14ac:dyDescent="0.25">
      <c r="A5" s="9" t="str">
        <f>IF('Teams &amp; HM'!A2="","",'Teams &amp; HM'!A2)</f>
        <v/>
      </c>
      <c r="B5" s="72" t="str">
        <f>IF('Teams &amp; HM'!H6="","",'Teams &amp; HM'!H6)</f>
        <v/>
      </c>
      <c r="C5" s="72" t="str">
        <f>IF('Teams &amp; HM'!A6="","",'Teams &amp; HM'!A6)</f>
        <v/>
      </c>
      <c r="D5" s="72" t="str">
        <f>IF('Teams &amp; HM'!B6="","",'Teams &amp; HM'!B6)</f>
        <v/>
      </c>
      <c r="F5" s="7"/>
      <c r="G5" s="7"/>
      <c r="I5" s="64"/>
      <c r="J5" s="7"/>
      <c r="K5" s="7"/>
      <c r="L5" s="7"/>
      <c r="M5" s="72" t="str">
        <f t="shared" si="0"/>
        <v/>
      </c>
      <c r="O5" s="64"/>
      <c r="P5" s="7"/>
      <c r="Q5" s="7"/>
      <c r="R5" s="7"/>
      <c r="S5" s="72" t="str">
        <f t="shared" si="1"/>
        <v/>
      </c>
      <c r="U5" s="7"/>
      <c r="V5" s="73" t="str">
        <f t="shared" si="2"/>
        <v/>
      </c>
      <c r="W5" s="73" t="str">
        <f t="shared" si="3"/>
        <v/>
      </c>
      <c r="X5" s="74" t="str">
        <f t="shared" si="4"/>
        <v/>
      </c>
      <c r="Y5" s="109"/>
    </row>
    <row r="6" spans="1:25" x14ac:dyDescent="0.25">
      <c r="A6" s="9" t="str">
        <f>IF('Teams &amp; HM'!A2="","",'Teams &amp; HM'!A2)</f>
        <v/>
      </c>
      <c r="B6" s="72" t="str">
        <f>IF('Teams &amp; HM'!H7="","",'Teams &amp; HM'!H7)</f>
        <v/>
      </c>
      <c r="C6" s="72" t="str">
        <f>IF('Teams &amp; HM'!A7="","",'Teams &amp; HM'!A7)</f>
        <v/>
      </c>
      <c r="D6" s="72" t="str">
        <f>IF('Teams &amp; HM'!B7="","",'Teams &amp; HM'!B7)</f>
        <v/>
      </c>
      <c r="F6" s="7"/>
      <c r="G6" s="7"/>
      <c r="I6" s="64"/>
      <c r="J6" s="7"/>
      <c r="K6" s="7"/>
      <c r="L6" s="7"/>
      <c r="M6" s="72" t="str">
        <f t="shared" si="0"/>
        <v/>
      </c>
      <c r="O6" s="64"/>
      <c r="P6" s="7"/>
      <c r="Q6" s="7"/>
      <c r="R6" s="7"/>
      <c r="S6" s="72" t="str">
        <f t="shared" si="1"/>
        <v/>
      </c>
      <c r="U6" s="7"/>
      <c r="V6" s="73" t="str">
        <f t="shared" si="2"/>
        <v/>
      </c>
      <c r="W6" s="73" t="str">
        <f t="shared" si="3"/>
        <v/>
      </c>
      <c r="X6" s="74" t="str">
        <f t="shared" si="4"/>
        <v/>
      </c>
      <c r="Y6" s="110"/>
    </row>
    <row r="7" spans="1:25" s="54" customFormat="1" hidden="1" x14ac:dyDescent="0.25">
      <c r="A7" s="51" t="str">
        <f>IF('Teams &amp; HM'!A2="","",'Teams &amp; HM'!A2)</f>
        <v/>
      </c>
      <c r="B7" s="72" t="str">
        <f>IF('Teams &amp; HM'!H8="","",'Teams &amp; HM'!H8)</f>
        <v/>
      </c>
      <c r="C7" s="72" t="str">
        <f>IF('Teams &amp; HM'!A8="","",'Teams &amp; HM'!A8)</f>
        <v/>
      </c>
      <c r="D7" s="72" t="str">
        <f>IF('Teams &amp; HM'!B8="","",'Teams &amp; HM'!B8)</f>
        <v/>
      </c>
      <c r="E7" s="52"/>
      <c r="F7" s="53"/>
      <c r="G7" s="53"/>
      <c r="H7" s="52"/>
      <c r="I7" s="64"/>
      <c r="J7" s="53"/>
      <c r="K7" s="53"/>
      <c r="L7" s="53"/>
      <c r="M7" s="72" t="str">
        <f t="shared" si="0"/>
        <v/>
      </c>
      <c r="N7" s="52"/>
      <c r="O7" s="65"/>
      <c r="P7" s="53"/>
      <c r="Q7" s="53"/>
      <c r="R7" s="53"/>
      <c r="S7" s="72" t="str">
        <f t="shared" si="1"/>
        <v/>
      </c>
      <c r="U7" s="53"/>
      <c r="V7" s="73" t="str">
        <f t="shared" si="2"/>
        <v/>
      </c>
      <c r="W7" s="73" t="str">
        <f t="shared" si="3"/>
        <v/>
      </c>
      <c r="X7" s="74" t="str">
        <f t="shared" si="4"/>
        <v/>
      </c>
      <c r="Y7" s="75"/>
    </row>
    <row r="8" spans="1:25" x14ac:dyDescent="0.25">
      <c r="A8" s="9" t="str">
        <f>IF('Teams &amp; HM'!A10="","",'Teams &amp; HM'!A10)</f>
        <v/>
      </c>
      <c r="B8" s="72" t="str">
        <f>IF('Teams &amp; HM'!H12="","",'Teams &amp; HM'!H12)</f>
        <v/>
      </c>
      <c r="C8" s="72" t="str">
        <f>IF('Teams &amp; HM'!A12="","",'Teams &amp; HM'!A12)</f>
        <v/>
      </c>
      <c r="D8" s="72" t="str">
        <f>IF('Teams &amp; HM'!B12="","",'Teams &amp; HM'!B12)</f>
        <v/>
      </c>
      <c r="F8" s="7"/>
      <c r="G8" s="7"/>
      <c r="I8" s="64"/>
      <c r="J8" s="7"/>
      <c r="K8" s="7"/>
      <c r="L8" s="7"/>
      <c r="M8" s="72" t="str">
        <f t="shared" si="0"/>
        <v/>
      </c>
      <c r="O8" s="64"/>
      <c r="P8" s="7"/>
      <c r="Q8" s="7"/>
      <c r="R8" s="7"/>
      <c r="S8" s="72" t="str">
        <f t="shared" si="1"/>
        <v/>
      </c>
      <c r="U8" s="7"/>
      <c r="V8" s="73" t="str">
        <f t="shared" si="2"/>
        <v/>
      </c>
      <c r="W8" s="73" t="str">
        <f t="shared" si="3"/>
        <v/>
      </c>
      <c r="X8" s="74" t="str">
        <f t="shared" si="4"/>
        <v/>
      </c>
      <c r="Y8" s="108" t="str">
        <f>IF(X8="","",IF(COUNT(X8:X11)=4,(SUM(X8:X11)-MIN(X8:X11)),SUM(X8:X10)))</f>
        <v/>
      </c>
    </row>
    <row r="9" spans="1:25" x14ac:dyDescent="0.25">
      <c r="A9" s="9" t="str">
        <f>IF('Teams &amp; HM'!A10="","",'Teams &amp; HM'!A10)</f>
        <v/>
      </c>
      <c r="B9" s="72" t="str">
        <f>IF('Teams &amp; HM'!H13="","",'Teams &amp; HM'!H13)</f>
        <v/>
      </c>
      <c r="C9" s="72" t="str">
        <f>IF('Teams &amp; HM'!A13="","",'Teams &amp; HM'!A13)</f>
        <v/>
      </c>
      <c r="D9" s="72" t="str">
        <f>IF('Teams &amp; HM'!B13="","",'Teams &amp; HM'!B13)</f>
        <v/>
      </c>
      <c r="F9" s="7"/>
      <c r="G9" s="7"/>
      <c r="I9" s="64"/>
      <c r="J9" s="7"/>
      <c r="K9" s="7"/>
      <c r="L9" s="7"/>
      <c r="M9" s="72" t="str">
        <f t="shared" si="0"/>
        <v/>
      </c>
      <c r="O9" s="64"/>
      <c r="P9" s="7"/>
      <c r="Q9" s="7"/>
      <c r="R9" s="7"/>
      <c r="S9" s="72" t="str">
        <f t="shared" si="1"/>
        <v/>
      </c>
      <c r="U9" s="7"/>
      <c r="V9" s="73" t="str">
        <f t="shared" si="2"/>
        <v/>
      </c>
      <c r="W9" s="73" t="str">
        <f t="shared" si="3"/>
        <v/>
      </c>
      <c r="X9" s="74" t="str">
        <f t="shared" si="4"/>
        <v/>
      </c>
      <c r="Y9" s="109"/>
    </row>
    <row r="10" spans="1:25" x14ac:dyDescent="0.25">
      <c r="A10" s="9" t="str">
        <f>IF('Teams &amp; HM'!A10="","",'Teams &amp; HM'!A10)</f>
        <v/>
      </c>
      <c r="B10" s="72" t="str">
        <f>IF('Teams &amp; HM'!H14="","",'Teams &amp; HM'!H14)</f>
        <v/>
      </c>
      <c r="C10" s="72" t="str">
        <f>IF('Teams &amp; HM'!A14="","",'Teams &amp; HM'!A14)</f>
        <v/>
      </c>
      <c r="D10" s="72" t="str">
        <f>IF('Teams &amp; HM'!B14="","",'Teams &amp; HM'!B14)</f>
        <v/>
      </c>
      <c r="F10" s="7"/>
      <c r="G10" s="7"/>
      <c r="I10" s="64"/>
      <c r="J10" s="7"/>
      <c r="K10" s="7"/>
      <c r="L10" s="7"/>
      <c r="M10" s="72" t="str">
        <f t="shared" si="0"/>
        <v/>
      </c>
      <c r="O10" s="64"/>
      <c r="P10" s="7"/>
      <c r="Q10" s="7"/>
      <c r="R10" s="7"/>
      <c r="S10" s="72" t="str">
        <f t="shared" si="1"/>
        <v/>
      </c>
      <c r="U10" s="7"/>
      <c r="V10" s="73" t="str">
        <f t="shared" si="2"/>
        <v/>
      </c>
      <c r="W10" s="73" t="str">
        <f t="shared" si="3"/>
        <v/>
      </c>
      <c r="X10" s="74" t="str">
        <f t="shared" si="4"/>
        <v/>
      </c>
      <c r="Y10" s="109"/>
    </row>
    <row r="11" spans="1:25" x14ac:dyDescent="0.25">
      <c r="A11" s="9" t="str">
        <f>IF('Teams &amp; HM'!A10="","",'Teams &amp; HM'!A10)</f>
        <v/>
      </c>
      <c r="B11" s="72" t="str">
        <f>IF('Teams &amp; HM'!H15="","",'Teams &amp; HM'!H15)</f>
        <v/>
      </c>
      <c r="C11" s="72" t="str">
        <f>IF('Teams &amp; HM'!A15="","",'Teams &amp; HM'!A15)</f>
        <v/>
      </c>
      <c r="D11" s="72" t="str">
        <f>IF('Teams &amp; HM'!B15="","",'Teams &amp; HM'!B15)</f>
        <v/>
      </c>
      <c r="F11" s="7"/>
      <c r="G11" s="7"/>
      <c r="I11" s="64"/>
      <c r="J11" s="7"/>
      <c r="K11" s="7"/>
      <c r="L11" s="7"/>
      <c r="M11" s="72" t="str">
        <f t="shared" si="0"/>
        <v/>
      </c>
      <c r="O11" s="64"/>
      <c r="P11" s="7"/>
      <c r="Q11" s="7"/>
      <c r="R11" s="7"/>
      <c r="S11" s="72" t="str">
        <f t="shared" si="1"/>
        <v/>
      </c>
      <c r="U11" s="7"/>
      <c r="V11" s="73" t="str">
        <f t="shared" si="2"/>
        <v/>
      </c>
      <c r="W11" s="73" t="str">
        <f t="shared" si="3"/>
        <v/>
      </c>
      <c r="X11" s="74" t="str">
        <f t="shared" si="4"/>
        <v/>
      </c>
      <c r="Y11" s="110"/>
    </row>
    <row r="12" spans="1:25" s="54" customFormat="1" hidden="1" x14ac:dyDescent="0.25">
      <c r="A12" s="51" t="str">
        <f>IF('Teams &amp; HM'!A10="","",'Teams &amp; HM'!A10)</f>
        <v/>
      </c>
      <c r="B12" s="72" t="str">
        <f>IF('Teams &amp; HM'!H16="","",'Teams &amp; HM'!H16)</f>
        <v/>
      </c>
      <c r="C12" s="72" t="str">
        <f>IF('Teams &amp; HM'!A16="","",'Teams &amp; HM'!A16)</f>
        <v/>
      </c>
      <c r="D12" s="72" t="str">
        <f>IF('Teams &amp; HM'!B16="","",'Teams &amp; HM'!B16)</f>
        <v/>
      </c>
      <c r="E12" s="52"/>
      <c r="F12" s="53"/>
      <c r="G12" s="53"/>
      <c r="H12" s="52"/>
      <c r="I12" s="64"/>
      <c r="J12" s="53"/>
      <c r="K12" s="53"/>
      <c r="L12" s="53"/>
      <c r="M12" s="72" t="str">
        <f t="shared" si="0"/>
        <v/>
      </c>
      <c r="N12" s="52"/>
      <c r="O12" s="65"/>
      <c r="P12" s="53"/>
      <c r="Q12" s="53"/>
      <c r="R12" s="53"/>
      <c r="S12" s="72" t="str">
        <f t="shared" si="1"/>
        <v/>
      </c>
      <c r="U12" s="53"/>
      <c r="V12" s="73" t="str">
        <f t="shared" si="2"/>
        <v/>
      </c>
      <c r="W12" s="73" t="str">
        <f t="shared" si="3"/>
        <v/>
      </c>
      <c r="X12" s="74" t="str">
        <f t="shared" si="4"/>
        <v/>
      </c>
      <c r="Y12" s="75"/>
    </row>
    <row r="13" spans="1:25" x14ac:dyDescent="0.25">
      <c r="A13" s="9" t="str">
        <f>IF('Teams &amp; HM'!A18="","",'Teams &amp; HM'!A18)</f>
        <v/>
      </c>
      <c r="B13" s="72" t="str">
        <f>IF('Teams &amp; HM'!H20="","",'Teams &amp; HM'!H20)</f>
        <v/>
      </c>
      <c r="C13" s="72" t="str">
        <f>IF('Teams &amp; HM'!A20="","",'Teams &amp; HM'!A20)</f>
        <v/>
      </c>
      <c r="D13" s="72" t="str">
        <f>IF('Teams &amp; HM'!B20="","",'Teams &amp; HM'!B20)</f>
        <v/>
      </c>
      <c r="F13" s="7"/>
      <c r="G13" s="7"/>
      <c r="I13" s="64"/>
      <c r="J13" s="7"/>
      <c r="K13" s="7"/>
      <c r="L13" s="7"/>
      <c r="M13" s="72" t="str">
        <f t="shared" si="0"/>
        <v/>
      </c>
      <c r="O13" s="64"/>
      <c r="P13" s="7"/>
      <c r="Q13" s="7"/>
      <c r="R13" s="7"/>
      <c r="S13" s="72" t="str">
        <f t="shared" si="1"/>
        <v/>
      </c>
      <c r="U13" s="7"/>
      <c r="V13" s="73" t="str">
        <f t="shared" si="2"/>
        <v/>
      </c>
      <c r="W13" s="73" t="str">
        <f t="shared" si="3"/>
        <v/>
      </c>
      <c r="X13" s="74" t="str">
        <f t="shared" si="4"/>
        <v/>
      </c>
      <c r="Y13" s="108" t="str">
        <f>IF(X13="","",IF(COUNT(X13:X16)=4,(SUM(X13:X16)-MIN(X13:X16)),SUM(X13:X15)))</f>
        <v/>
      </c>
    </row>
    <row r="14" spans="1:25" x14ac:dyDescent="0.25">
      <c r="A14" s="9" t="str">
        <f>IF('Teams &amp; HM'!A18="","",'Teams &amp; HM'!A18)</f>
        <v/>
      </c>
      <c r="B14" s="72" t="str">
        <f>IF('Teams &amp; HM'!H21="","",'Teams &amp; HM'!H21)</f>
        <v/>
      </c>
      <c r="C14" s="72" t="str">
        <f>IF('Teams &amp; HM'!A21="","",'Teams &amp; HM'!A21)</f>
        <v/>
      </c>
      <c r="D14" s="72" t="str">
        <f>IF('Teams &amp; HM'!B21="","",'Teams &amp; HM'!B21)</f>
        <v/>
      </c>
      <c r="F14" s="7"/>
      <c r="G14" s="7"/>
      <c r="I14" s="64"/>
      <c r="J14" s="7"/>
      <c r="K14" s="7"/>
      <c r="L14" s="7"/>
      <c r="M14" s="72" t="str">
        <f t="shared" si="0"/>
        <v/>
      </c>
      <c r="O14" s="64"/>
      <c r="P14" s="7"/>
      <c r="Q14" s="7"/>
      <c r="R14" s="7"/>
      <c r="S14" s="72" t="str">
        <f t="shared" si="1"/>
        <v/>
      </c>
      <c r="U14" s="7"/>
      <c r="V14" s="73" t="str">
        <f t="shared" si="2"/>
        <v/>
      </c>
      <c r="W14" s="73" t="str">
        <f t="shared" si="3"/>
        <v/>
      </c>
      <c r="X14" s="74" t="str">
        <f t="shared" si="4"/>
        <v/>
      </c>
      <c r="Y14" s="109"/>
    </row>
    <row r="15" spans="1:25" x14ac:dyDescent="0.25">
      <c r="A15" s="9" t="str">
        <f>IF('Teams &amp; HM'!A18="","",'Teams &amp; HM'!A18)</f>
        <v/>
      </c>
      <c r="B15" s="72" t="str">
        <f>IF('Teams &amp; HM'!H22="","",'Teams &amp; HM'!H22)</f>
        <v/>
      </c>
      <c r="C15" s="72" t="str">
        <f>IF('Teams &amp; HM'!A22="","",'Teams &amp; HM'!A22)</f>
        <v/>
      </c>
      <c r="D15" s="72" t="str">
        <f>IF('Teams &amp; HM'!B22="","",'Teams &amp; HM'!B22)</f>
        <v/>
      </c>
      <c r="F15" s="7"/>
      <c r="G15" s="7"/>
      <c r="I15" s="64"/>
      <c r="J15" s="7"/>
      <c r="K15" s="7"/>
      <c r="L15" s="7"/>
      <c r="M15" s="72" t="str">
        <f t="shared" si="0"/>
        <v/>
      </c>
      <c r="O15" s="64"/>
      <c r="P15" s="7"/>
      <c r="Q15" s="7"/>
      <c r="R15" s="7"/>
      <c r="S15" s="72" t="str">
        <f t="shared" si="1"/>
        <v/>
      </c>
      <c r="U15" s="7"/>
      <c r="V15" s="73" t="str">
        <f t="shared" si="2"/>
        <v/>
      </c>
      <c r="W15" s="73" t="str">
        <f t="shared" si="3"/>
        <v/>
      </c>
      <c r="X15" s="74" t="str">
        <f t="shared" si="4"/>
        <v/>
      </c>
      <c r="Y15" s="109"/>
    </row>
    <row r="16" spans="1:25" x14ac:dyDescent="0.25">
      <c r="A16" s="9" t="str">
        <f>IF('Teams &amp; HM'!A18="","",'Teams &amp; HM'!A18)</f>
        <v/>
      </c>
      <c r="B16" s="72" t="str">
        <f>IF('Teams &amp; HM'!H23="","",'Teams &amp; HM'!H23)</f>
        <v/>
      </c>
      <c r="C16" s="72" t="str">
        <f>IF('Teams &amp; HM'!A23="","",'Teams &amp; HM'!A23)</f>
        <v/>
      </c>
      <c r="D16" s="72" t="str">
        <f>IF('Teams &amp; HM'!B23="","",'Teams &amp; HM'!B23)</f>
        <v/>
      </c>
      <c r="F16" s="7"/>
      <c r="G16" s="7"/>
      <c r="I16" s="64"/>
      <c r="J16" s="7"/>
      <c r="K16" s="7"/>
      <c r="L16" s="7"/>
      <c r="M16" s="72" t="str">
        <f t="shared" si="0"/>
        <v/>
      </c>
      <c r="O16" s="64"/>
      <c r="P16" s="7"/>
      <c r="Q16" s="7"/>
      <c r="R16" s="7"/>
      <c r="S16" s="72" t="str">
        <f t="shared" si="1"/>
        <v/>
      </c>
      <c r="U16" s="7"/>
      <c r="V16" s="73" t="str">
        <f t="shared" si="2"/>
        <v/>
      </c>
      <c r="W16" s="73" t="str">
        <f t="shared" si="3"/>
        <v/>
      </c>
      <c r="X16" s="74" t="str">
        <f t="shared" si="4"/>
        <v/>
      </c>
      <c r="Y16" s="110"/>
    </row>
    <row r="17" spans="1:25" s="54" customFormat="1" hidden="1" x14ac:dyDescent="0.25">
      <c r="A17" s="51" t="str">
        <f>IF('Teams &amp; HM'!A18="","",'Teams &amp; HM'!A18)</f>
        <v/>
      </c>
      <c r="B17" s="72" t="str">
        <f>IF('Teams &amp; HM'!H24="","",'Teams &amp; HM'!H24)</f>
        <v/>
      </c>
      <c r="C17" s="72" t="str">
        <f>IF('Teams &amp; HM'!A24="","",'Teams &amp; HM'!A24)</f>
        <v/>
      </c>
      <c r="D17" s="72" t="str">
        <f>IF('Teams &amp; HM'!B24="","",'Teams &amp; HM'!B24)</f>
        <v/>
      </c>
      <c r="E17" s="52"/>
      <c r="F17" s="53"/>
      <c r="G17" s="53"/>
      <c r="H17" s="52"/>
      <c r="I17" s="64"/>
      <c r="J17" s="53"/>
      <c r="K17" s="53"/>
      <c r="L17" s="53"/>
      <c r="M17" s="72" t="str">
        <f t="shared" si="0"/>
        <v/>
      </c>
      <c r="N17" s="52"/>
      <c r="O17" s="65"/>
      <c r="P17" s="53"/>
      <c r="Q17" s="53"/>
      <c r="R17" s="53"/>
      <c r="S17" s="72" t="str">
        <f t="shared" si="1"/>
        <v/>
      </c>
      <c r="U17" s="53"/>
      <c r="V17" s="73" t="str">
        <f t="shared" si="2"/>
        <v/>
      </c>
      <c r="W17" s="73" t="str">
        <f t="shared" si="3"/>
        <v/>
      </c>
      <c r="X17" s="74" t="str">
        <f t="shared" si="4"/>
        <v/>
      </c>
      <c r="Y17" s="75"/>
    </row>
    <row r="18" spans="1:25" x14ac:dyDescent="0.25">
      <c r="A18" s="9" t="str">
        <f>IF('Teams &amp; HM'!A26="","",'Teams &amp; HM'!A26)</f>
        <v/>
      </c>
      <c r="B18" s="72" t="str">
        <f>IF('Teams &amp; HM'!H28="","",'Teams &amp; HM'!H28)</f>
        <v/>
      </c>
      <c r="C18" s="72" t="str">
        <f>IF('Teams &amp; HM'!A28="","",'Teams &amp; HM'!A28)</f>
        <v/>
      </c>
      <c r="D18" s="72" t="str">
        <f>IF('Teams &amp; HM'!B28="","",'Teams &amp; HM'!B28)</f>
        <v/>
      </c>
      <c r="F18" s="7"/>
      <c r="G18" s="7"/>
      <c r="I18" s="64"/>
      <c r="J18" s="7"/>
      <c r="K18" s="7"/>
      <c r="L18" s="7"/>
      <c r="M18" s="72" t="str">
        <f t="shared" si="0"/>
        <v/>
      </c>
      <c r="O18" s="64"/>
      <c r="P18" s="7"/>
      <c r="Q18" s="7"/>
      <c r="R18" s="7"/>
      <c r="S18" s="72" t="str">
        <f t="shared" si="1"/>
        <v/>
      </c>
      <c r="U18" s="7"/>
      <c r="V18" s="73" t="str">
        <f t="shared" si="2"/>
        <v/>
      </c>
      <c r="W18" s="73" t="str">
        <f t="shared" si="3"/>
        <v/>
      </c>
      <c r="X18" s="74" t="str">
        <f t="shared" si="4"/>
        <v/>
      </c>
      <c r="Y18" s="108" t="str">
        <f>IF(X18="","",IF(COUNT(X18:X21)=4,(SUM(X18:X21)-MIN(X18:X21)),SUM(X18:X20)))</f>
        <v/>
      </c>
    </row>
    <row r="19" spans="1:25" x14ac:dyDescent="0.25">
      <c r="A19" s="9" t="str">
        <f>IF('Teams &amp; HM'!A26="","",'Teams &amp; HM'!A26)</f>
        <v/>
      </c>
      <c r="B19" s="72" t="str">
        <f>IF('Teams &amp; HM'!H29="","",'Teams &amp; HM'!H29)</f>
        <v/>
      </c>
      <c r="C19" s="72" t="str">
        <f>IF('Teams &amp; HM'!A29="","",'Teams &amp; HM'!A29)</f>
        <v/>
      </c>
      <c r="D19" s="72" t="str">
        <f>IF('Teams &amp; HM'!B29="","",'Teams &amp; HM'!B29)</f>
        <v/>
      </c>
      <c r="F19" s="7"/>
      <c r="G19" s="7"/>
      <c r="I19" s="64"/>
      <c r="J19" s="7"/>
      <c r="K19" s="7"/>
      <c r="L19" s="7"/>
      <c r="M19" s="72" t="str">
        <f t="shared" si="0"/>
        <v/>
      </c>
      <c r="O19" s="64"/>
      <c r="P19" s="7"/>
      <c r="Q19" s="7"/>
      <c r="R19" s="7"/>
      <c r="S19" s="72" t="str">
        <f t="shared" si="1"/>
        <v/>
      </c>
      <c r="U19" s="7"/>
      <c r="V19" s="73" t="str">
        <f t="shared" si="2"/>
        <v/>
      </c>
      <c r="W19" s="73" t="str">
        <f t="shared" si="3"/>
        <v/>
      </c>
      <c r="X19" s="74" t="str">
        <f t="shared" si="4"/>
        <v/>
      </c>
      <c r="Y19" s="109"/>
    </row>
    <row r="20" spans="1:25" x14ac:dyDescent="0.25">
      <c r="A20" s="9" t="str">
        <f>IF('Teams &amp; HM'!A26="","",'Teams &amp; HM'!A26)</f>
        <v/>
      </c>
      <c r="B20" s="72" t="str">
        <f>IF('Teams &amp; HM'!H30="","",'Teams &amp; HM'!H30)</f>
        <v/>
      </c>
      <c r="C20" s="72" t="str">
        <f>IF('Teams &amp; HM'!A30="","",'Teams &amp; HM'!A30)</f>
        <v/>
      </c>
      <c r="D20" s="72" t="str">
        <f>IF('Teams &amp; HM'!B30="","",'Teams &amp; HM'!B30)</f>
        <v/>
      </c>
      <c r="F20" s="7"/>
      <c r="G20" s="7"/>
      <c r="I20" s="64"/>
      <c r="J20" s="7"/>
      <c r="K20" s="7"/>
      <c r="L20" s="7"/>
      <c r="M20" s="72" t="str">
        <f t="shared" si="0"/>
        <v/>
      </c>
      <c r="O20" s="64"/>
      <c r="P20" s="7"/>
      <c r="Q20" s="7"/>
      <c r="R20" s="7"/>
      <c r="S20" s="72" t="str">
        <f t="shared" si="1"/>
        <v/>
      </c>
      <c r="U20" s="7"/>
      <c r="V20" s="73" t="str">
        <f t="shared" si="2"/>
        <v/>
      </c>
      <c r="W20" s="73" t="str">
        <f t="shared" si="3"/>
        <v/>
      </c>
      <c r="X20" s="74" t="str">
        <f t="shared" si="4"/>
        <v/>
      </c>
      <c r="Y20" s="109"/>
    </row>
    <row r="21" spans="1:25" x14ac:dyDescent="0.25">
      <c r="A21" s="9" t="str">
        <f>IF('Teams &amp; HM'!A26="","",'Teams &amp; HM'!A26)</f>
        <v/>
      </c>
      <c r="B21" s="72" t="str">
        <f>IF('Teams &amp; HM'!H31="","",'Teams &amp; HM'!H31)</f>
        <v/>
      </c>
      <c r="C21" s="72" t="str">
        <f>IF('Teams &amp; HM'!A31="","",'Teams &amp; HM'!A31)</f>
        <v/>
      </c>
      <c r="D21" s="72" t="str">
        <f>IF('Teams &amp; HM'!B31="","",'Teams &amp; HM'!B31)</f>
        <v/>
      </c>
      <c r="F21" s="7"/>
      <c r="G21" s="7"/>
      <c r="I21" s="64"/>
      <c r="J21" s="7"/>
      <c r="K21" s="7"/>
      <c r="L21" s="7"/>
      <c r="M21" s="72" t="str">
        <f t="shared" si="0"/>
        <v/>
      </c>
      <c r="O21" s="64"/>
      <c r="P21" s="7"/>
      <c r="Q21" s="7"/>
      <c r="R21" s="7"/>
      <c r="S21" s="72" t="str">
        <f t="shared" si="1"/>
        <v/>
      </c>
      <c r="U21" s="7"/>
      <c r="V21" s="73" t="str">
        <f t="shared" si="2"/>
        <v/>
      </c>
      <c r="W21" s="73" t="str">
        <f t="shared" si="3"/>
        <v/>
      </c>
      <c r="X21" s="74" t="str">
        <f t="shared" si="4"/>
        <v/>
      </c>
      <c r="Y21" s="110"/>
    </row>
    <row r="22" spans="1:25" s="54" customFormat="1" hidden="1" x14ac:dyDescent="0.25">
      <c r="A22" s="51" t="str">
        <f>IF('Teams &amp; HM'!A26="","",'Teams &amp; HM'!A26)</f>
        <v/>
      </c>
      <c r="B22" s="72" t="str">
        <f>IF('Teams &amp; HM'!H32="","",'Teams &amp; HM'!H32)</f>
        <v/>
      </c>
      <c r="C22" s="72" t="str">
        <f>IF('Teams &amp; HM'!A32="","",'Teams &amp; HM'!A32)</f>
        <v/>
      </c>
      <c r="D22" s="72" t="str">
        <f>IF('Teams &amp; HM'!B32="","",'Teams &amp; HM'!B32)</f>
        <v/>
      </c>
      <c r="E22" s="52"/>
      <c r="F22" s="53"/>
      <c r="G22" s="53"/>
      <c r="H22" s="52"/>
      <c r="I22" s="65"/>
      <c r="J22" s="53"/>
      <c r="K22" s="53"/>
      <c r="L22" s="53"/>
      <c r="M22" s="72" t="str">
        <f t="shared" si="0"/>
        <v/>
      </c>
      <c r="N22" s="52"/>
      <c r="O22" s="65"/>
      <c r="P22" s="53"/>
      <c r="Q22" s="53"/>
      <c r="R22" s="53"/>
      <c r="S22" s="72" t="str">
        <f t="shared" si="1"/>
        <v/>
      </c>
      <c r="U22" s="53"/>
      <c r="V22" s="73" t="str">
        <f t="shared" si="2"/>
        <v/>
      </c>
      <c r="W22" s="73" t="str">
        <f t="shared" si="3"/>
        <v/>
      </c>
      <c r="X22" s="74" t="str">
        <f t="shared" si="4"/>
        <v/>
      </c>
      <c r="Y22" s="75"/>
    </row>
    <row r="23" spans="1:25" x14ac:dyDescent="0.25">
      <c r="A23" s="9" t="str">
        <f>IF('Teams &amp; HM'!A34="","",'Teams &amp; HM'!A34)</f>
        <v/>
      </c>
      <c r="B23" s="72" t="str">
        <f>IF('Teams &amp; HM'!H36="","",'Teams &amp; HM'!H36)</f>
        <v/>
      </c>
      <c r="C23" s="72" t="str">
        <f>IF('Teams &amp; HM'!A36="","",'Teams &amp; HM'!A36)</f>
        <v/>
      </c>
      <c r="D23" s="72" t="str">
        <f>IF('Teams &amp; HM'!B36="","",'Teams &amp; HM'!B36)</f>
        <v/>
      </c>
      <c r="F23" s="7"/>
      <c r="G23" s="7"/>
      <c r="I23" s="64"/>
      <c r="J23" s="7"/>
      <c r="K23" s="7"/>
      <c r="L23" s="7"/>
      <c r="M23" s="72" t="str">
        <f t="shared" si="0"/>
        <v/>
      </c>
      <c r="O23" s="64"/>
      <c r="P23" s="7"/>
      <c r="Q23" s="7"/>
      <c r="R23" s="7"/>
      <c r="S23" s="72" t="str">
        <f t="shared" si="1"/>
        <v/>
      </c>
      <c r="U23" s="7"/>
      <c r="V23" s="73" t="str">
        <f t="shared" si="2"/>
        <v/>
      </c>
      <c r="W23" s="73" t="str">
        <f t="shared" si="3"/>
        <v/>
      </c>
      <c r="X23" s="74" t="str">
        <f t="shared" si="4"/>
        <v/>
      </c>
      <c r="Y23" s="108" t="str">
        <f>IF(X23="","",IF(COUNT(X23:X26)=4,(SUM(X23:X26)-MIN(X23:X26)),SUM(X23:X25)))</f>
        <v/>
      </c>
    </row>
    <row r="24" spans="1:25" x14ac:dyDescent="0.25">
      <c r="A24" s="9" t="str">
        <f>IF('Teams &amp; HM'!A34="","",'Teams &amp; HM'!A34)</f>
        <v/>
      </c>
      <c r="B24" s="72" t="str">
        <f>IF('Teams &amp; HM'!H37="","",'Teams &amp; HM'!H37)</f>
        <v/>
      </c>
      <c r="C24" s="72" t="str">
        <f>IF('Teams &amp; HM'!A37="","",'Teams &amp; HM'!A37)</f>
        <v/>
      </c>
      <c r="D24" s="72" t="str">
        <f>IF('Teams &amp; HM'!B37="","",'Teams &amp; HM'!B37)</f>
        <v/>
      </c>
      <c r="F24" s="7"/>
      <c r="G24" s="7"/>
      <c r="I24" s="64"/>
      <c r="J24" s="7"/>
      <c r="K24" s="7"/>
      <c r="L24" s="7"/>
      <c r="M24" s="72" t="str">
        <f t="shared" si="0"/>
        <v/>
      </c>
      <c r="O24" s="64"/>
      <c r="P24" s="7"/>
      <c r="Q24" s="7"/>
      <c r="R24" s="7"/>
      <c r="S24" s="72" t="str">
        <f t="shared" si="1"/>
        <v/>
      </c>
      <c r="U24" s="7"/>
      <c r="V24" s="73" t="str">
        <f t="shared" si="2"/>
        <v/>
      </c>
      <c r="W24" s="73" t="str">
        <f t="shared" si="3"/>
        <v/>
      </c>
      <c r="X24" s="74" t="str">
        <f t="shared" si="4"/>
        <v/>
      </c>
      <c r="Y24" s="109"/>
    </row>
    <row r="25" spans="1:25" x14ac:dyDescent="0.25">
      <c r="A25" s="9" t="str">
        <f>IF('Teams &amp; HM'!A34="","",'Teams &amp; HM'!A34)</f>
        <v/>
      </c>
      <c r="B25" s="72" t="str">
        <f>IF('Teams &amp; HM'!H38="","",'Teams &amp; HM'!H38)</f>
        <v/>
      </c>
      <c r="C25" s="72" t="str">
        <f>IF('Teams &amp; HM'!A38="","",'Teams &amp; HM'!A38)</f>
        <v/>
      </c>
      <c r="D25" s="72" t="str">
        <f>IF('Teams &amp; HM'!B38="","",'Teams &amp; HM'!B38)</f>
        <v/>
      </c>
      <c r="F25" s="7"/>
      <c r="G25" s="7"/>
      <c r="I25" s="64"/>
      <c r="J25" s="7"/>
      <c r="K25" s="7"/>
      <c r="L25" s="7"/>
      <c r="M25" s="72" t="str">
        <f t="shared" si="0"/>
        <v/>
      </c>
      <c r="O25" s="64"/>
      <c r="P25" s="7"/>
      <c r="Q25" s="7"/>
      <c r="R25" s="7"/>
      <c r="S25" s="72" t="str">
        <f t="shared" si="1"/>
        <v/>
      </c>
      <c r="U25" s="7"/>
      <c r="V25" s="73" t="str">
        <f t="shared" si="2"/>
        <v/>
      </c>
      <c r="W25" s="73" t="str">
        <f t="shared" si="3"/>
        <v/>
      </c>
      <c r="X25" s="74" t="str">
        <f t="shared" si="4"/>
        <v/>
      </c>
      <c r="Y25" s="109"/>
    </row>
    <row r="26" spans="1:25" x14ac:dyDescent="0.25">
      <c r="A26" s="9" t="str">
        <f>IF('Teams &amp; HM'!A34="","",'Teams &amp; HM'!A34)</f>
        <v/>
      </c>
      <c r="B26" s="72" t="str">
        <f>IF('Teams &amp; HM'!H39="","",'Teams &amp; HM'!H39)</f>
        <v/>
      </c>
      <c r="C26" s="72" t="str">
        <f>IF('Teams &amp; HM'!A39="","",'Teams &amp; HM'!A39)</f>
        <v/>
      </c>
      <c r="D26" s="72" t="str">
        <f>IF('Teams &amp; HM'!B39="","",'Teams &amp; HM'!B39)</f>
        <v/>
      </c>
      <c r="F26" s="7"/>
      <c r="G26" s="7"/>
      <c r="I26" s="64"/>
      <c r="J26" s="7"/>
      <c r="K26" s="7"/>
      <c r="L26" s="7"/>
      <c r="M26" s="72" t="str">
        <f t="shared" si="0"/>
        <v/>
      </c>
      <c r="O26" s="64"/>
      <c r="P26" s="7"/>
      <c r="Q26" s="7"/>
      <c r="R26" s="7"/>
      <c r="S26" s="72" t="str">
        <f t="shared" si="1"/>
        <v/>
      </c>
      <c r="U26" s="7"/>
      <c r="V26" s="73" t="str">
        <f t="shared" si="2"/>
        <v/>
      </c>
      <c r="W26" s="73" t="str">
        <f t="shared" si="3"/>
        <v/>
      </c>
      <c r="X26" s="74" t="str">
        <f t="shared" si="4"/>
        <v/>
      </c>
      <c r="Y26" s="110"/>
    </row>
    <row r="27" spans="1:25" s="54" customFormat="1" hidden="1" x14ac:dyDescent="0.25">
      <c r="A27" s="51" t="str">
        <f>IF('Teams &amp; HM'!A34="","",'Teams &amp; HM'!A34)</f>
        <v/>
      </c>
      <c r="B27" s="72" t="str">
        <f>IF('Teams &amp; HM'!H40="","",'Teams &amp; HM'!H40)</f>
        <v/>
      </c>
      <c r="C27" s="72" t="str">
        <f>IF('Teams &amp; HM'!A40="","",'Teams &amp; HM'!A40)</f>
        <v/>
      </c>
      <c r="D27" s="72" t="str">
        <f>IF('Teams &amp; HM'!B40="","",'Teams &amp; HM'!B40)</f>
        <v/>
      </c>
      <c r="E27" s="52"/>
      <c r="F27" s="53"/>
      <c r="G27" s="53"/>
      <c r="H27" s="52"/>
      <c r="I27" s="65"/>
      <c r="J27" s="53"/>
      <c r="K27" s="53"/>
      <c r="L27" s="53"/>
      <c r="M27" s="72" t="str">
        <f t="shared" si="0"/>
        <v/>
      </c>
      <c r="N27" s="52"/>
      <c r="O27" s="65"/>
      <c r="P27" s="53"/>
      <c r="Q27" s="53"/>
      <c r="R27" s="53"/>
      <c r="S27" s="72" t="str">
        <f t="shared" si="1"/>
        <v/>
      </c>
      <c r="U27" s="53"/>
      <c r="V27" s="73" t="str">
        <f t="shared" si="2"/>
        <v/>
      </c>
      <c r="W27" s="73" t="str">
        <f t="shared" si="3"/>
        <v/>
      </c>
      <c r="X27" s="74" t="str">
        <f t="shared" si="4"/>
        <v/>
      </c>
      <c r="Y27" s="75"/>
    </row>
    <row r="28" spans="1:25" x14ac:dyDescent="0.25">
      <c r="A28" s="9" t="str">
        <f>IF('Teams &amp; HM'!A42="","",'Teams &amp; HM'!A42)</f>
        <v/>
      </c>
      <c r="B28" s="72" t="str">
        <f>IF('Teams &amp; HM'!H44="","",'Teams &amp; HM'!H44)</f>
        <v/>
      </c>
      <c r="C28" s="72" t="str">
        <f>IF('Teams &amp; HM'!A44="","",'Teams &amp; HM'!A44)</f>
        <v/>
      </c>
      <c r="D28" s="72" t="str">
        <f>IF('Teams &amp; HM'!B44="","",'Teams &amp; HM'!B44)</f>
        <v/>
      </c>
      <c r="F28" s="7"/>
      <c r="G28" s="7"/>
      <c r="I28" s="64"/>
      <c r="J28" s="7"/>
      <c r="K28" s="7"/>
      <c r="L28" s="7"/>
      <c r="M28" s="72" t="str">
        <f t="shared" si="0"/>
        <v/>
      </c>
      <c r="O28" s="64"/>
      <c r="P28" s="7"/>
      <c r="Q28" s="7"/>
      <c r="R28" s="7"/>
      <c r="S28" s="72" t="str">
        <f t="shared" si="1"/>
        <v/>
      </c>
      <c r="U28" s="7"/>
      <c r="V28" s="73" t="str">
        <f t="shared" si="2"/>
        <v/>
      </c>
      <c r="W28" s="73" t="str">
        <f t="shared" si="3"/>
        <v/>
      </c>
      <c r="X28" s="74" t="str">
        <f t="shared" si="4"/>
        <v/>
      </c>
      <c r="Y28" s="108" t="str">
        <f>IF(X28="","",IF(COUNT(X28:X31)=4,(SUM(X28:X31)-MIN(X28:X31)),SUM(X28:X30)))</f>
        <v/>
      </c>
    </row>
    <row r="29" spans="1:25" x14ac:dyDescent="0.25">
      <c r="A29" s="9" t="str">
        <f>IF('Teams &amp; HM'!A42="","",'Teams &amp; HM'!A42)</f>
        <v/>
      </c>
      <c r="B29" s="72" t="str">
        <f>IF('Teams &amp; HM'!H45="","",'Teams &amp; HM'!H45)</f>
        <v/>
      </c>
      <c r="C29" s="72" t="str">
        <f>IF('Teams &amp; HM'!A45="","",'Teams &amp; HM'!A45)</f>
        <v/>
      </c>
      <c r="D29" s="72" t="str">
        <f>IF('Teams &amp; HM'!B45="","",'Teams &amp; HM'!B45)</f>
        <v/>
      </c>
      <c r="F29" s="7"/>
      <c r="G29" s="7"/>
      <c r="I29" s="64"/>
      <c r="J29" s="7"/>
      <c r="K29" s="7"/>
      <c r="L29" s="7"/>
      <c r="M29" s="72" t="str">
        <f t="shared" si="0"/>
        <v/>
      </c>
      <c r="O29" s="64"/>
      <c r="P29" s="7"/>
      <c r="Q29" s="7"/>
      <c r="R29" s="7"/>
      <c r="S29" s="72" t="str">
        <f t="shared" si="1"/>
        <v/>
      </c>
      <c r="U29" s="7"/>
      <c r="V29" s="73" t="str">
        <f t="shared" si="2"/>
        <v/>
      </c>
      <c r="W29" s="73" t="str">
        <f t="shared" si="3"/>
        <v/>
      </c>
      <c r="X29" s="74" t="str">
        <f t="shared" si="4"/>
        <v/>
      </c>
      <c r="Y29" s="109"/>
    </row>
    <row r="30" spans="1:25" x14ac:dyDescent="0.25">
      <c r="A30" s="9" t="str">
        <f>IF('Teams &amp; HM'!A42="","",'Teams &amp; HM'!A42)</f>
        <v/>
      </c>
      <c r="B30" s="72" t="str">
        <f>IF('Teams &amp; HM'!H46="","",'Teams &amp; HM'!H46)</f>
        <v/>
      </c>
      <c r="C30" s="72" t="str">
        <f>IF('Teams &amp; HM'!A46="","",'Teams &amp; HM'!A46)</f>
        <v/>
      </c>
      <c r="D30" s="72" t="str">
        <f>IF('Teams &amp; HM'!B46="","",'Teams &amp; HM'!B46)</f>
        <v/>
      </c>
      <c r="F30" s="7"/>
      <c r="G30" s="7"/>
      <c r="I30" s="64"/>
      <c r="J30" s="7"/>
      <c r="K30" s="7"/>
      <c r="L30" s="7"/>
      <c r="M30" s="72" t="str">
        <f t="shared" si="0"/>
        <v/>
      </c>
      <c r="O30" s="64"/>
      <c r="P30" s="7"/>
      <c r="Q30" s="7"/>
      <c r="R30" s="7"/>
      <c r="S30" s="72" t="str">
        <f t="shared" si="1"/>
        <v/>
      </c>
      <c r="U30" s="7"/>
      <c r="V30" s="73" t="str">
        <f t="shared" si="2"/>
        <v/>
      </c>
      <c r="W30" s="73" t="str">
        <f t="shared" si="3"/>
        <v/>
      </c>
      <c r="X30" s="74" t="str">
        <f t="shared" si="4"/>
        <v/>
      </c>
      <c r="Y30" s="109"/>
    </row>
    <row r="31" spans="1:25" x14ac:dyDescent="0.25">
      <c r="A31" s="9" t="str">
        <f>IF('Teams &amp; HM'!A42="","",'Teams &amp; HM'!A42)</f>
        <v/>
      </c>
      <c r="B31" s="72" t="str">
        <f>IF('Teams &amp; HM'!H47="","",'Teams &amp; HM'!H47)</f>
        <v/>
      </c>
      <c r="C31" s="72" t="str">
        <f>IF('Teams &amp; HM'!A47="","",'Teams &amp; HM'!A47)</f>
        <v/>
      </c>
      <c r="D31" s="72" t="str">
        <f>IF('Teams &amp; HM'!B47="","",'Teams &amp; HM'!B47)</f>
        <v/>
      </c>
      <c r="F31" s="7"/>
      <c r="G31" s="7"/>
      <c r="I31" s="64"/>
      <c r="J31" s="7"/>
      <c r="K31" s="7"/>
      <c r="L31" s="7"/>
      <c r="M31" s="72" t="str">
        <f t="shared" si="0"/>
        <v/>
      </c>
      <c r="O31" s="64"/>
      <c r="P31" s="7"/>
      <c r="Q31" s="7"/>
      <c r="R31" s="7"/>
      <c r="S31" s="72" t="str">
        <f t="shared" si="1"/>
        <v/>
      </c>
      <c r="U31" s="7"/>
      <c r="V31" s="73" t="str">
        <f t="shared" si="2"/>
        <v/>
      </c>
      <c r="W31" s="73" t="str">
        <f t="shared" si="3"/>
        <v/>
      </c>
      <c r="X31" s="74" t="str">
        <f t="shared" si="4"/>
        <v/>
      </c>
      <c r="Y31" s="110"/>
    </row>
    <row r="32" spans="1:25" s="54" customFormat="1" hidden="1" x14ac:dyDescent="0.25">
      <c r="A32" s="51" t="str">
        <f>IF('Teams &amp; HM'!A42="","",'Teams &amp; HM'!A42)</f>
        <v/>
      </c>
      <c r="B32" s="72" t="str">
        <f>IF('Teams &amp; HM'!H48="","",'Teams &amp; HM'!H48)</f>
        <v/>
      </c>
      <c r="C32" s="72" t="str">
        <f>IF('Teams &amp; HM'!A48="","",'Teams &amp; HM'!A48)</f>
        <v/>
      </c>
      <c r="D32" s="72" t="str">
        <f>IF('Teams &amp; HM'!B48="","",'Teams &amp; HM'!B48)</f>
        <v/>
      </c>
      <c r="E32" s="52"/>
      <c r="F32" s="53"/>
      <c r="G32" s="53"/>
      <c r="H32" s="52"/>
      <c r="I32" s="65"/>
      <c r="J32" s="53"/>
      <c r="K32" s="53"/>
      <c r="L32" s="53"/>
      <c r="M32" s="72" t="str">
        <f t="shared" si="0"/>
        <v/>
      </c>
      <c r="N32" s="52"/>
      <c r="O32" s="65"/>
      <c r="P32" s="53"/>
      <c r="Q32" s="53"/>
      <c r="R32" s="53"/>
      <c r="S32" s="72" t="str">
        <f t="shared" si="1"/>
        <v/>
      </c>
      <c r="U32" s="53"/>
      <c r="V32" s="73" t="str">
        <f t="shared" si="2"/>
        <v/>
      </c>
      <c r="W32" s="73" t="str">
        <f t="shared" si="3"/>
        <v/>
      </c>
      <c r="X32" s="74" t="str">
        <f t="shared" si="4"/>
        <v/>
      </c>
      <c r="Y32" s="75"/>
    </row>
    <row r="33" spans="1:25" x14ac:dyDescent="0.25">
      <c r="A33" s="9" t="str">
        <f>IF('Teams &amp; HM'!A50="","",'Teams &amp; HM'!A50)</f>
        <v/>
      </c>
      <c r="B33" s="72" t="str">
        <f>IF('Teams &amp; HM'!H52="","",'Teams &amp; HM'!H52)</f>
        <v/>
      </c>
      <c r="C33" s="72" t="str">
        <f>IF('Teams &amp; HM'!A52="","",'Teams &amp; HM'!A52)</f>
        <v/>
      </c>
      <c r="D33" s="72" t="str">
        <f>IF('Teams &amp; HM'!B52="","",'Teams &amp; HM'!B52)</f>
        <v/>
      </c>
      <c r="F33" s="7"/>
      <c r="G33" s="7"/>
      <c r="I33" s="64"/>
      <c r="J33" s="7"/>
      <c r="K33" s="7"/>
      <c r="L33" s="7"/>
      <c r="M33" s="72" t="str">
        <f t="shared" si="0"/>
        <v/>
      </c>
      <c r="O33" s="64"/>
      <c r="P33" s="7"/>
      <c r="Q33" s="7"/>
      <c r="R33" s="7"/>
      <c r="S33" s="72" t="str">
        <f t="shared" si="1"/>
        <v/>
      </c>
      <c r="U33" s="7"/>
      <c r="V33" s="73" t="str">
        <f t="shared" si="2"/>
        <v/>
      </c>
      <c r="W33" s="73" t="str">
        <f t="shared" si="3"/>
        <v/>
      </c>
      <c r="X33" s="74" t="str">
        <f t="shared" si="4"/>
        <v/>
      </c>
      <c r="Y33" s="108" t="str">
        <f>IF(X33="","",IF(COUNT(X33:X36)=4,(SUM(X33:X36)-MIN(X33:X36)),SUM(X33:X35)))</f>
        <v/>
      </c>
    </row>
    <row r="34" spans="1:25" x14ac:dyDescent="0.25">
      <c r="A34" s="9" t="str">
        <f>IF('Teams &amp; HM'!A50="","",'Teams &amp; HM'!A50)</f>
        <v/>
      </c>
      <c r="B34" s="72" t="str">
        <f>IF('Teams &amp; HM'!H53="","",'Teams &amp; HM'!H53)</f>
        <v/>
      </c>
      <c r="C34" s="72" t="str">
        <f>IF('Teams &amp; HM'!A53="","",'Teams &amp; HM'!A53)</f>
        <v/>
      </c>
      <c r="D34" s="72" t="str">
        <f>IF('Teams &amp; HM'!B53="","",'Teams &amp; HM'!B53)</f>
        <v/>
      </c>
      <c r="F34" s="7"/>
      <c r="G34" s="7"/>
      <c r="I34" s="64"/>
      <c r="J34" s="7"/>
      <c r="K34" s="7"/>
      <c r="L34" s="7"/>
      <c r="M34" s="72" t="str">
        <f t="shared" si="0"/>
        <v/>
      </c>
      <c r="O34" s="64"/>
      <c r="P34" s="7"/>
      <c r="Q34" s="7"/>
      <c r="R34" s="7"/>
      <c r="S34" s="72" t="str">
        <f t="shared" si="1"/>
        <v/>
      </c>
      <c r="U34" s="7"/>
      <c r="V34" s="73" t="str">
        <f t="shared" si="2"/>
        <v/>
      </c>
      <c r="W34" s="73" t="str">
        <f t="shared" si="3"/>
        <v/>
      </c>
      <c r="X34" s="74" t="str">
        <f t="shared" si="4"/>
        <v/>
      </c>
      <c r="Y34" s="109"/>
    </row>
    <row r="35" spans="1:25" x14ac:dyDescent="0.25">
      <c r="A35" s="9" t="str">
        <f>IF('Teams &amp; HM'!A50="","",'Teams &amp; HM'!A50)</f>
        <v/>
      </c>
      <c r="B35" s="72" t="str">
        <f>IF('Teams &amp; HM'!H54="","",'Teams &amp; HM'!H54)</f>
        <v/>
      </c>
      <c r="C35" s="72" t="str">
        <f>IF('Teams &amp; HM'!A54="","",'Teams &amp; HM'!A54)</f>
        <v/>
      </c>
      <c r="D35" s="72" t="str">
        <f>IF('Teams &amp; HM'!B54="","",'Teams &amp; HM'!B54)</f>
        <v/>
      </c>
      <c r="F35" s="7"/>
      <c r="G35" s="7"/>
      <c r="I35" s="64"/>
      <c r="J35" s="7"/>
      <c r="K35" s="7"/>
      <c r="L35" s="7"/>
      <c r="M35" s="72" t="str">
        <f t="shared" si="0"/>
        <v/>
      </c>
      <c r="O35" s="64"/>
      <c r="P35" s="7"/>
      <c r="Q35" s="7"/>
      <c r="R35" s="7"/>
      <c r="S35" s="72" t="str">
        <f t="shared" si="1"/>
        <v/>
      </c>
      <c r="U35" s="7"/>
      <c r="V35" s="73" t="str">
        <f t="shared" ref="V35:V66" si="5">IF(M35="","",+(1100-J35-M35)/2)</f>
        <v/>
      </c>
      <c r="W35" s="73" t="str">
        <f t="shared" si="3"/>
        <v/>
      </c>
      <c r="X35" s="74" t="str">
        <f t="shared" si="4"/>
        <v/>
      </c>
      <c r="Y35" s="109"/>
    </row>
    <row r="36" spans="1:25" x14ac:dyDescent="0.25">
      <c r="A36" s="9" t="str">
        <f>IF('Teams &amp; HM'!A50="","",'Teams &amp; HM'!A50)</f>
        <v/>
      </c>
      <c r="B36" s="72" t="str">
        <f>IF('Teams &amp; HM'!H55="","",'Teams &amp; HM'!H55)</f>
        <v/>
      </c>
      <c r="C36" s="72" t="str">
        <f>IF('Teams &amp; HM'!A55="","",'Teams &amp; HM'!A55)</f>
        <v/>
      </c>
      <c r="D36" s="72" t="str">
        <f>IF('Teams &amp; HM'!B55="","",'Teams &amp; HM'!B55)</f>
        <v/>
      </c>
      <c r="F36" s="7"/>
      <c r="G36" s="7"/>
      <c r="I36" s="64"/>
      <c r="J36" s="7"/>
      <c r="K36" s="7"/>
      <c r="L36" s="7"/>
      <c r="M36" s="72" t="str">
        <f t="shared" si="0"/>
        <v/>
      </c>
      <c r="O36" s="64"/>
      <c r="P36" s="7"/>
      <c r="Q36" s="7"/>
      <c r="R36" s="7"/>
      <c r="S36" s="72" t="str">
        <f t="shared" si="1"/>
        <v/>
      </c>
      <c r="U36" s="7"/>
      <c r="V36" s="73" t="str">
        <f t="shared" si="5"/>
        <v/>
      </c>
      <c r="W36" s="73" t="str">
        <f t="shared" si="3"/>
        <v/>
      </c>
      <c r="X36" s="74" t="str">
        <f t="shared" si="4"/>
        <v/>
      </c>
      <c r="Y36" s="110"/>
    </row>
    <row r="37" spans="1:25" s="54" customFormat="1" hidden="1" x14ac:dyDescent="0.25">
      <c r="A37" s="51" t="str">
        <f>IF('Teams &amp; HM'!A50="","",'Teams &amp; HM'!A50)</f>
        <v/>
      </c>
      <c r="B37" s="72" t="str">
        <f>IF('Teams &amp; HM'!H56="","",'Teams &amp; HM'!H56)</f>
        <v/>
      </c>
      <c r="C37" s="72" t="str">
        <f>IF('Teams &amp; HM'!A56="","",'Teams &amp; HM'!A56)</f>
        <v/>
      </c>
      <c r="D37" s="72" t="str">
        <f>IF('Teams &amp; HM'!B56="","",'Teams &amp; HM'!B56)</f>
        <v/>
      </c>
      <c r="E37" s="52"/>
      <c r="F37" s="53"/>
      <c r="G37" s="53"/>
      <c r="H37" s="52"/>
      <c r="I37" s="65"/>
      <c r="J37" s="53"/>
      <c r="K37" s="53"/>
      <c r="L37" s="53"/>
      <c r="M37" s="72" t="str">
        <f t="shared" si="0"/>
        <v/>
      </c>
      <c r="N37" s="52"/>
      <c r="O37" s="65"/>
      <c r="P37" s="53"/>
      <c r="Q37" s="53"/>
      <c r="R37" s="53"/>
      <c r="S37" s="72" t="str">
        <f t="shared" si="1"/>
        <v/>
      </c>
      <c r="U37" s="53"/>
      <c r="V37" s="73" t="str">
        <f t="shared" si="5"/>
        <v/>
      </c>
      <c r="W37" s="73" t="str">
        <f t="shared" si="3"/>
        <v/>
      </c>
      <c r="X37" s="74" t="str">
        <f t="shared" si="4"/>
        <v/>
      </c>
      <c r="Y37" s="75"/>
    </row>
    <row r="38" spans="1:25" x14ac:dyDescent="0.25">
      <c r="A38" s="9" t="str">
        <f>IF('Teams &amp; HM'!A58="","",'Teams &amp; HM'!A58)</f>
        <v/>
      </c>
      <c r="B38" s="72" t="str">
        <f>IF('Teams &amp; HM'!H60="","",'Teams &amp; HM'!H60)</f>
        <v/>
      </c>
      <c r="C38" s="72" t="str">
        <f>IF('Teams &amp; HM'!A60="","",'Teams &amp; HM'!A60)</f>
        <v/>
      </c>
      <c r="D38" s="72" t="str">
        <f>IF('Teams &amp; HM'!B60="","",'Teams &amp; HM'!B60)</f>
        <v/>
      </c>
      <c r="F38" s="7"/>
      <c r="G38" s="7"/>
      <c r="I38" s="64"/>
      <c r="J38" s="7"/>
      <c r="K38" s="7"/>
      <c r="L38" s="7"/>
      <c r="M38" s="72" t="str">
        <f t="shared" si="0"/>
        <v/>
      </c>
      <c r="O38" s="64"/>
      <c r="P38" s="7"/>
      <c r="Q38" s="7"/>
      <c r="R38" s="7"/>
      <c r="S38" s="72" t="str">
        <f t="shared" si="1"/>
        <v/>
      </c>
      <c r="U38" s="7"/>
      <c r="V38" s="73" t="str">
        <f t="shared" si="5"/>
        <v/>
      </c>
      <c r="W38" s="73" t="str">
        <f t="shared" si="3"/>
        <v/>
      </c>
      <c r="X38" s="74" t="str">
        <f t="shared" si="4"/>
        <v/>
      </c>
      <c r="Y38" s="108" t="str">
        <f>IF(X38="","",IF(COUNT(X38:X41)=4,(SUM(X38:X41)-MIN(X38:X41)),SUM(X38:X40)))</f>
        <v/>
      </c>
    </row>
    <row r="39" spans="1:25" x14ac:dyDescent="0.25">
      <c r="A39" s="9" t="str">
        <f>IF('Teams &amp; HM'!A58="","",'Teams &amp; HM'!A58)</f>
        <v/>
      </c>
      <c r="B39" s="72" t="str">
        <f>IF('Teams &amp; HM'!H61="","",'Teams &amp; HM'!H61)</f>
        <v/>
      </c>
      <c r="C39" s="72" t="str">
        <f>IF('Teams &amp; HM'!A61="","",'Teams &amp; HM'!A61)</f>
        <v/>
      </c>
      <c r="D39" s="72" t="str">
        <f>IF('Teams &amp; HM'!B61="","",'Teams &amp; HM'!B61)</f>
        <v/>
      </c>
      <c r="F39" s="7"/>
      <c r="G39" s="7"/>
      <c r="I39" s="64"/>
      <c r="J39" s="7"/>
      <c r="K39" s="7"/>
      <c r="L39" s="7"/>
      <c r="M39" s="72" t="str">
        <f t="shared" si="0"/>
        <v/>
      </c>
      <c r="O39" s="64"/>
      <c r="P39" s="7"/>
      <c r="Q39" s="7"/>
      <c r="R39" s="7"/>
      <c r="S39" s="72" t="str">
        <f t="shared" si="1"/>
        <v/>
      </c>
      <c r="U39" s="7"/>
      <c r="V39" s="73" t="str">
        <f t="shared" si="5"/>
        <v/>
      </c>
      <c r="W39" s="73" t="str">
        <f t="shared" si="3"/>
        <v/>
      </c>
      <c r="X39" s="74" t="str">
        <f t="shared" si="4"/>
        <v/>
      </c>
      <c r="Y39" s="109"/>
    </row>
    <row r="40" spans="1:25" x14ac:dyDescent="0.25">
      <c r="A40" s="9" t="str">
        <f>IF('Teams &amp; HM'!A58="","",'Teams &amp; HM'!A58)</f>
        <v/>
      </c>
      <c r="B40" s="72" t="str">
        <f>IF('Teams &amp; HM'!H62="","",'Teams &amp; HM'!H62)</f>
        <v/>
      </c>
      <c r="C40" s="72" t="str">
        <f>IF('Teams &amp; HM'!A62="","",'Teams &amp; HM'!A62)</f>
        <v/>
      </c>
      <c r="D40" s="72" t="str">
        <f>IF('Teams &amp; HM'!B62="","",'Teams &amp; HM'!B62)</f>
        <v/>
      </c>
      <c r="F40" s="7"/>
      <c r="G40" s="7"/>
      <c r="I40" s="64"/>
      <c r="J40" s="7"/>
      <c r="K40" s="7"/>
      <c r="L40" s="7"/>
      <c r="M40" s="72" t="str">
        <f t="shared" si="0"/>
        <v/>
      </c>
      <c r="O40" s="64"/>
      <c r="P40" s="7"/>
      <c r="Q40" s="7"/>
      <c r="R40" s="7"/>
      <c r="S40" s="72" t="str">
        <f t="shared" si="1"/>
        <v/>
      </c>
      <c r="U40" s="7"/>
      <c r="V40" s="73" t="str">
        <f t="shared" si="5"/>
        <v/>
      </c>
      <c r="W40" s="73" t="str">
        <f t="shared" si="3"/>
        <v/>
      </c>
      <c r="X40" s="74" t="str">
        <f t="shared" si="4"/>
        <v/>
      </c>
      <c r="Y40" s="109"/>
    </row>
    <row r="41" spans="1:25" x14ac:dyDescent="0.25">
      <c r="A41" s="9" t="str">
        <f>IF('Teams &amp; HM'!A58="","",'Teams &amp; HM'!A58)</f>
        <v/>
      </c>
      <c r="B41" s="72" t="str">
        <f>IF('Teams &amp; HM'!H63="","",'Teams &amp; HM'!H63)</f>
        <v/>
      </c>
      <c r="C41" s="72" t="str">
        <f>IF('Teams &amp; HM'!A63="","",'Teams &amp; HM'!A63)</f>
        <v/>
      </c>
      <c r="D41" s="72" t="str">
        <f>IF('Teams &amp; HM'!B63="","",'Teams &amp; HM'!B63)</f>
        <v/>
      </c>
      <c r="F41" s="7"/>
      <c r="G41" s="7"/>
      <c r="I41" s="64"/>
      <c r="J41" s="7"/>
      <c r="K41" s="7"/>
      <c r="L41" s="7"/>
      <c r="M41" s="72" t="str">
        <f t="shared" si="0"/>
        <v/>
      </c>
      <c r="O41" s="64"/>
      <c r="P41" s="7"/>
      <c r="Q41" s="7"/>
      <c r="R41" s="7"/>
      <c r="S41" s="72" t="str">
        <f t="shared" si="1"/>
        <v/>
      </c>
      <c r="U41" s="7"/>
      <c r="V41" s="73" t="str">
        <f t="shared" si="5"/>
        <v/>
      </c>
      <c r="W41" s="73" t="str">
        <f t="shared" si="3"/>
        <v/>
      </c>
      <c r="X41" s="74" t="str">
        <f t="shared" si="4"/>
        <v/>
      </c>
      <c r="Y41" s="110"/>
    </row>
    <row r="42" spans="1:25" s="54" customFormat="1" hidden="1" x14ac:dyDescent="0.25">
      <c r="A42" s="51" t="str">
        <f>IF('Teams &amp; HM'!A58="","",'Teams &amp; HM'!A58)</f>
        <v/>
      </c>
      <c r="B42" s="72" t="str">
        <f>IF('Teams &amp; HM'!H64="","",'Teams &amp; HM'!H64)</f>
        <v/>
      </c>
      <c r="C42" s="72" t="str">
        <f>IF('Teams &amp; HM'!A64="","",'Teams &amp; HM'!A64)</f>
        <v/>
      </c>
      <c r="D42" s="72" t="str">
        <f>IF('Teams &amp; HM'!B64="","",'Teams &amp; HM'!B64)</f>
        <v/>
      </c>
      <c r="E42" s="52"/>
      <c r="F42" s="53"/>
      <c r="G42" s="53"/>
      <c r="H42" s="52"/>
      <c r="I42" s="65"/>
      <c r="J42" s="53"/>
      <c r="K42" s="53"/>
      <c r="L42" s="53"/>
      <c r="M42" s="72" t="str">
        <f t="shared" si="0"/>
        <v/>
      </c>
      <c r="N42" s="52"/>
      <c r="O42" s="65"/>
      <c r="P42" s="53"/>
      <c r="Q42" s="53"/>
      <c r="R42" s="53"/>
      <c r="S42" s="72" t="str">
        <f t="shared" si="1"/>
        <v/>
      </c>
      <c r="U42" s="53"/>
      <c r="V42" s="73" t="str">
        <f t="shared" si="5"/>
        <v/>
      </c>
      <c r="W42" s="73" t="str">
        <f t="shared" si="3"/>
        <v/>
      </c>
      <c r="X42" s="74" t="str">
        <f t="shared" si="4"/>
        <v/>
      </c>
      <c r="Y42" s="75"/>
    </row>
    <row r="43" spans="1:25" x14ac:dyDescent="0.25">
      <c r="A43" s="9" t="str">
        <f>IF('Teams &amp; HM'!A66="","",'Teams &amp; HM'!A66)</f>
        <v/>
      </c>
      <c r="B43" s="72" t="str">
        <f>IF('Teams &amp; HM'!H68="","",'Teams &amp; HM'!H68)</f>
        <v/>
      </c>
      <c r="C43" s="72" t="str">
        <f>IF('Teams &amp; HM'!A68="","",'Teams &amp; HM'!A68)</f>
        <v/>
      </c>
      <c r="D43" s="72" t="str">
        <f>IF('Teams &amp; HM'!B68="","",'Teams &amp; HM'!B68)</f>
        <v/>
      </c>
      <c r="F43" s="7"/>
      <c r="G43" s="7"/>
      <c r="I43" s="64"/>
      <c r="J43" s="7"/>
      <c r="K43" s="7"/>
      <c r="L43" s="7"/>
      <c r="M43" s="72" t="str">
        <f t="shared" si="0"/>
        <v/>
      </c>
      <c r="O43" s="64"/>
      <c r="P43" s="7"/>
      <c r="Q43" s="7"/>
      <c r="R43" s="7"/>
      <c r="S43" s="72" t="str">
        <f t="shared" si="1"/>
        <v/>
      </c>
      <c r="U43" s="7"/>
      <c r="V43" s="73" t="str">
        <f t="shared" si="5"/>
        <v/>
      </c>
      <c r="W43" s="73" t="str">
        <f t="shared" si="3"/>
        <v/>
      </c>
      <c r="X43" s="74" t="str">
        <f t="shared" si="4"/>
        <v/>
      </c>
      <c r="Y43" s="108" t="str">
        <f>IF(X43="","",IF(COUNT(X43:X46)=4,(SUM(X43:X46)-MIN(X43:X46)),SUM(X43:X45)))</f>
        <v/>
      </c>
    </row>
    <row r="44" spans="1:25" x14ac:dyDescent="0.25">
      <c r="A44" s="9" t="str">
        <f>IF('Teams &amp; HM'!A66="","",'Teams &amp; HM'!A66)</f>
        <v/>
      </c>
      <c r="B44" s="72" t="str">
        <f>IF('Teams &amp; HM'!H69="","",'Teams &amp; HM'!H69)</f>
        <v/>
      </c>
      <c r="C44" s="72" t="str">
        <f>IF('Teams &amp; HM'!A69="","",'Teams &amp; HM'!A69)</f>
        <v/>
      </c>
      <c r="D44" s="72" t="str">
        <f>IF('Teams &amp; HM'!B69="","",'Teams &amp; HM'!B69)</f>
        <v/>
      </c>
      <c r="F44" s="7"/>
      <c r="G44" s="7"/>
      <c r="I44" s="64"/>
      <c r="J44" s="7"/>
      <c r="K44" s="7"/>
      <c r="L44" s="7"/>
      <c r="M44" s="72" t="str">
        <f t="shared" si="0"/>
        <v/>
      </c>
      <c r="O44" s="64"/>
      <c r="P44" s="7"/>
      <c r="Q44" s="7"/>
      <c r="R44" s="7"/>
      <c r="S44" s="72" t="str">
        <f t="shared" si="1"/>
        <v/>
      </c>
      <c r="U44" s="7"/>
      <c r="V44" s="73" t="str">
        <f t="shared" si="5"/>
        <v/>
      </c>
      <c r="W44" s="73" t="str">
        <f t="shared" si="3"/>
        <v/>
      </c>
      <c r="X44" s="74" t="str">
        <f t="shared" si="4"/>
        <v/>
      </c>
      <c r="Y44" s="109"/>
    </row>
    <row r="45" spans="1:25" x14ac:dyDescent="0.25">
      <c r="A45" s="9" t="str">
        <f>IF('Teams &amp; HM'!A66="","",'Teams &amp; HM'!A66)</f>
        <v/>
      </c>
      <c r="B45" s="72" t="str">
        <f>IF('Teams &amp; HM'!H70="","",'Teams &amp; HM'!H70)</f>
        <v/>
      </c>
      <c r="C45" s="72" t="str">
        <f>IF('Teams &amp; HM'!A70="","",'Teams &amp; HM'!A70)</f>
        <v/>
      </c>
      <c r="D45" s="72" t="str">
        <f>IF('Teams &amp; HM'!B70="","",'Teams &amp; HM'!B70)</f>
        <v/>
      </c>
      <c r="F45" s="7"/>
      <c r="G45" s="7"/>
      <c r="I45" s="64"/>
      <c r="J45" s="7"/>
      <c r="K45" s="7"/>
      <c r="L45" s="7"/>
      <c r="M45" s="72" t="str">
        <f t="shared" si="0"/>
        <v/>
      </c>
      <c r="O45" s="64"/>
      <c r="P45" s="7"/>
      <c r="Q45" s="7"/>
      <c r="R45" s="7"/>
      <c r="S45" s="72" t="str">
        <f t="shared" si="1"/>
        <v/>
      </c>
      <c r="U45" s="7"/>
      <c r="V45" s="73" t="str">
        <f t="shared" si="5"/>
        <v/>
      </c>
      <c r="W45" s="73" t="str">
        <f t="shared" si="3"/>
        <v/>
      </c>
      <c r="X45" s="74" t="str">
        <f t="shared" si="4"/>
        <v/>
      </c>
      <c r="Y45" s="109"/>
    </row>
    <row r="46" spans="1:25" x14ac:dyDescent="0.25">
      <c r="A46" s="9" t="str">
        <f>IF('Teams &amp; HM'!A66="","",'Teams &amp; HM'!A66)</f>
        <v/>
      </c>
      <c r="B46" s="72" t="str">
        <f>IF('Teams &amp; HM'!H71="","",'Teams &amp; HM'!H71)</f>
        <v/>
      </c>
      <c r="C46" s="72" t="str">
        <f>IF('Teams &amp; HM'!A71="","",'Teams &amp; HM'!A71)</f>
        <v/>
      </c>
      <c r="D46" s="72" t="str">
        <f>IF('Teams &amp; HM'!B71="","",'Teams &amp; HM'!B71)</f>
        <v/>
      </c>
      <c r="F46" s="7"/>
      <c r="G46" s="7"/>
      <c r="I46" s="64"/>
      <c r="J46" s="7"/>
      <c r="K46" s="7"/>
      <c r="L46" s="7"/>
      <c r="M46" s="72" t="str">
        <f t="shared" si="0"/>
        <v/>
      </c>
      <c r="O46" s="64"/>
      <c r="P46" s="7"/>
      <c r="Q46" s="7"/>
      <c r="R46" s="7"/>
      <c r="S46" s="72" t="str">
        <f t="shared" si="1"/>
        <v/>
      </c>
      <c r="U46" s="7"/>
      <c r="V46" s="73" t="str">
        <f t="shared" si="5"/>
        <v/>
      </c>
      <c r="W46" s="73" t="str">
        <f t="shared" si="3"/>
        <v/>
      </c>
      <c r="X46" s="74" t="str">
        <f t="shared" si="4"/>
        <v/>
      </c>
      <c r="Y46" s="110"/>
    </row>
    <row r="47" spans="1:25" s="54" customFormat="1" hidden="1" x14ac:dyDescent="0.25">
      <c r="A47" s="51" t="str">
        <f>IF('Teams &amp; HM'!A66="","",'Teams &amp; HM'!A66)</f>
        <v/>
      </c>
      <c r="B47" s="72" t="str">
        <f>IF('Teams &amp; HM'!H72="","",'Teams &amp; HM'!H72)</f>
        <v/>
      </c>
      <c r="C47" s="72" t="str">
        <f>IF('Teams &amp; HM'!A72="","",'Teams &amp; HM'!A72)</f>
        <v/>
      </c>
      <c r="D47" s="72" t="str">
        <f>IF('Teams &amp; HM'!B72="","",'Teams &amp; HM'!B72)</f>
        <v/>
      </c>
      <c r="E47" s="52"/>
      <c r="F47" s="53"/>
      <c r="G47" s="53"/>
      <c r="H47" s="52"/>
      <c r="I47" s="65"/>
      <c r="J47" s="53"/>
      <c r="K47" s="53"/>
      <c r="L47" s="53"/>
      <c r="M47" s="72" t="str">
        <f t="shared" si="0"/>
        <v/>
      </c>
      <c r="N47" s="52"/>
      <c r="O47" s="65"/>
      <c r="P47" s="53"/>
      <c r="Q47" s="53"/>
      <c r="R47" s="53"/>
      <c r="S47" s="72" t="str">
        <f t="shared" si="1"/>
        <v/>
      </c>
      <c r="U47" s="53"/>
      <c r="V47" s="73" t="str">
        <f t="shared" si="5"/>
        <v/>
      </c>
      <c r="W47" s="73" t="str">
        <f t="shared" si="3"/>
        <v/>
      </c>
      <c r="X47" s="74" t="str">
        <f t="shared" si="4"/>
        <v/>
      </c>
      <c r="Y47" s="75"/>
    </row>
    <row r="48" spans="1:25" x14ac:dyDescent="0.25">
      <c r="A48" s="9" t="str">
        <f>IF('Teams &amp; HM'!A74="","",'Teams &amp; HM'!A74)</f>
        <v/>
      </c>
      <c r="B48" s="72" t="str">
        <f>IF('Teams &amp; HM'!H76="","",'Teams &amp; HM'!H76)</f>
        <v/>
      </c>
      <c r="C48" s="72" t="str">
        <f>IF('Teams &amp; HM'!A76="","",'Teams &amp; HM'!A76)</f>
        <v/>
      </c>
      <c r="D48" s="72" t="str">
        <f>IF('Teams &amp; HM'!B76="","",'Teams &amp; HM'!B76)</f>
        <v/>
      </c>
      <c r="F48" s="7"/>
      <c r="G48" s="7"/>
      <c r="I48" s="64"/>
      <c r="J48" s="7"/>
      <c r="K48" s="7"/>
      <c r="L48" s="7"/>
      <c r="M48" s="72" t="str">
        <f t="shared" si="0"/>
        <v/>
      </c>
      <c r="O48" s="64"/>
      <c r="P48" s="7"/>
      <c r="Q48" s="7"/>
      <c r="R48" s="7"/>
      <c r="S48" s="72" t="str">
        <f t="shared" si="1"/>
        <v/>
      </c>
      <c r="U48" s="7"/>
      <c r="V48" s="73" t="str">
        <f t="shared" si="5"/>
        <v/>
      </c>
      <c r="W48" s="73" t="str">
        <f t="shared" si="3"/>
        <v/>
      </c>
      <c r="X48" s="74" t="str">
        <f t="shared" si="4"/>
        <v/>
      </c>
      <c r="Y48" s="108" t="str">
        <f>IF(X48="","",IF(COUNT(X48:X51)=4,(SUM(X48:X51)-MIN(X48:X51)),SUM(X48:X50)))</f>
        <v/>
      </c>
    </row>
    <row r="49" spans="1:25" x14ac:dyDescent="0.25">
      <c r="A49" s="9" t="str">
        <f>IF('Teams &amp; HM'!A74="","",'Teams &amp; HM'!A74)</f>
        <v/>
      </c>
      <c r="B49" s="72" t="str">
        <f>IF('Teams &amp; HM'!H77="","",'Teams &amp; HM'!H77)</f>
        <v/>
      </c>
      <c r="C49" s="72" t="str">
        <f>IF('Teams &amp; HM'!A77="","",'Teams &amp; HM'!A77)</f>
        <v/>
      </c>
      <c r="D49" s="72" t="str">
        <f>IF('Teams &amp; HM'!B77="","",'Teams &amp; HM'!B77)</f>
        <v/>
      </c>
      <c r="F49" s="7"/>
      <c r="G49" s="7"/>
      <c r="I49" s="64"/>
      <c r="J49" s="7"/>
      <c r="K49" s="7"/>
      <c r="L49" s="7"/>
      <c r="M49" s="72" t="str">
        <f t="shared" si="0"/>
        <v/>
      </c>
      <c r="O49" s="64"/>
      <c r="P49" s="7"/>
      <c r="Q49" s="7"/>
      <c r="R49" s="7"/>
      <c r="S49" s="72" t="str">
        <f t="shared" si="1"/>
        <v/>
      </c>
      <c r="U49" s="7"/>
      <c r="V49" s="73" t="str">
        <f t="shared" si="5"/>
        <v/>
      </c>
      <c r="W49" s="73" t="str">
        <f t="shared" si="3"/>
        <v/>
      </c>
      <c r="X49" s="74" t="str">
        <f t="shared" si="4"/>
        <v/>
      </c>
      <c r="Y49" s="109"/>
    </row>
    <row r="50" spans="1:25" x14ac:dyDescent="0.25">
      <c r="A50" s="9" t="str">
        <f>IF('Teams &amp; HM'!A74="","",'Teams &amp; HM'!A74)</f>
        <v/>
      </c>
      <c r="B50" s="72" t="str">
        <f>IF('Teams &amp; HM'!H78="","",'Teams &amp; HM'!H78)</f>
        <v/>
      </c>
      <c r="C50" s="72" t="str">
        <f>IF('Teams &amp; HM'!A78="","",'Teams &amp; HM'!A78)</f>
        <v/>
      </c>
      <c r="D50" s="72" t="str">
        <f>IF('Teams &amp; HM'!B78="","",'Teams &amp; HM'!B78)</f>
        <v/>
      </c>
      <c r="F50" s="7"/>
      <c r="G50" s="7"/>
      <c r="I50" s="64"/>
      <c r="J50" s="7"/>
      <c r="K50" s="7"/>
      <c r="L50" s="7"/>
      <c r="M50" s="72" t="str">
        <f t="shared" si="0"/>
        <v/>
      </c>
      <c r="O50" s="64"/>
      <c r="P50" s="7"/>
      <c r="Q50" s="7"/>
      <c r="R50" s="7"/>
      <c r="S50" s="72" t="str">
        <f t="shared" si="1"/>
        <v/>
      </c>
      <c r="U50" s="7"/>
      <c r="V50" s="73" t="str">
        <f t="shared" si="5"/>
        <v/>
      </c>
      <c r="W50" s="73" t="str">
        <f t="shared" si="3"/>
        <v/>
      </c>
      <c r="X50" s="74" t="str">
        <f t="shared" si="4"/>
        <v/>
      </c>
      <c r="Y50" s="109"/>
    </row>
    <row r="51" spans="1:25" x14ac:dyDescent="0.25">
      <c r="A51" s="9" t="str">
        <f>IF('Teams &amp; HM'!A74="","",'Teams &amp; HM'!A74)</f>
        <v/>
      </c>
      <c r="B51" s="72" t="str">
        <f>IF('Teams &amp; HM'!H79="","",'Teams &amp; HM'!H79)</f>
        <v/>
      </c>
      <c r="C51" s="72" t="str">
        <f>IF('Teams &amp; HM'!A79="","",'Teams &amp; HM'!A79)</f>
        <v/>
      </c>
      <c r="D51" s="72" t="str">
        <f>IF('Teams &amp; HM'!B79="","",'Teams &amp; HM'!B79)</f>
        <v/>
      </c>
      <c r="F51" s="7"/>
      <c r="G51" s="7"/>
      <c r="I51" s="64"/>
      <c r="J51" s="7"/>
      <c r="K51" s="7"/>
      <c r="L51" s="7"/>
      <c r="M51" s="72" t="str">
        <f t="shared" si="0"/>
        <v/>
      </c>
      <c r="O51" s="64"/>
      <c r="P51" s="7"/>
      <c r="Q51" s="7"/>
      <c r="R51" s="7"/>
      <c r="S51" s="72" t="str">
        <f t="shared" si="1"/>
        <v/>
      </c>
      <c r="U51" s="7"/>
      <c r="V51" s="73" t="str">
        <f t="shared" si="5"/>
        <v/>
      </c>
      <c r="W51" s="73" t="str">
        <f t="shared" si="3"/>
        <v/>
      </c>
      <c r="X51" s="74" t="str">
        <f t="shared" si="4"/>
        <v/>
      </c>
      <c r="Y51" s="110"/>
    </row>
    <row r="52" spans="1:25" s="54" customFormat="1" hidden="1" x14ac:dyDescent="0.25">
      <c r="A52" s="51" t="str">
        <f>IF('Teams &amp; HM'!A74="","",'Teams &amp; HM'!A74)</f>
        <v/>
      </c>
      <c r="B52" s="72" t="str">
        <f>IF('Teams &amp; HM'!H80="","",'Teams &amp; HM'!H80)</f>
        <v/>
      </c>
      <c r="C52" s="72" t="str">
        <f>IF('Teams &amp; HM'!A80="","",'Teams &amp; HM'!A80)</f>
        <v/>
      </c>
      <c r="D52" s="72" t="str">
        <f>IF('Teams &amp; HM'!B80="","",'Teams &amp; HM'!B80)</f>
        <v/>
      </c>
      <c r="E52" s="52"/>
      <c r="F52" s="53"/>
      <c r="G52" s="53"/>
      <c r="H52" s="52"/>
      <c r="I52" s="65"/>
      <c r="J52" s="53"/>
      <c r="K52" s="53"/>
      <c r="L52" s="53"/>
      <c r="M52" s="72" t="str">
        <f t="shared" si="0"/>
        <v/>
      </c>
      <c r="N52" s="52"/>
      <c r="O52" s="65"/>
      <c r="P52" s="53"/>
      <c r="Q52" s="53"/>
      <c r="R52" s="53"/>
      <c r="S52" s="72" t="str">
        <f t="shared" si="1"/>
        <v/>
      </c>
      <c r="U52" s="53"/>
      <c r="V52" s="73" t="str">
        <f t="shared" si="5"/>
        <v/>
      </c>
      <c r="W52" s="73" t="str">
        <f t="shared" si="3"/>
        <v/>
      </c>
      <c r="X52" s="74" t="str">
        <f t="shared" si="4"/>
        <v/>
      </c>
      <c r="Y52" s="75"/>
    </row>
    <row r="53" spans="1:25" x14ac:dyDescent="0.25">
      <c r="A53" s="9" t="str">
        <f>IF('Teams &amp; HM'!A82="","",'Teams &amp; HM'!A82)</f>
        <v/>
      </c>
      <c r="B53" s="72" t="str">
        <f>IF('Teams &amp; HM'!H84="","",'Teams &amp; HM'!H84)</f>
        <v/>
      </c>
      <c r="C53" s="72" t="str">
        <f>IF('Teams &amp; HM'!A84="","",'Teams &amp; HM'!A84)</f>
        <v/>
      </c>
      <c r="D53" s="72" t="str">
        <f>IF('Teams &amp; HM'!B84="","",'Teams &amp; HM'!B84)</f>
        <v/>
      </c>
      <c r="F53" s="7"/>
      <c r="G53" s="7"/>
      <c r="I53" s="64"/>
      <c r="J53" s="7"/>
      <c r="K53" s="7"/>
      <c r="L53" s="7"/>
      <c r="M53" s="72" t="str">
        <f t="shared" si="0"/>
        <v/>
      </c>
      <c r="O53" s="64"/>
      <c r="P53" s="7"/>
      <c r="Q53" s="7"/>
      <c r="R53" s="7"/>
      <c r="S53" s="72" t="str">
        <f t="shared" si="1"/>
        <v/>
      </c>
      <c r="U53" s="7"/>
      <c r="V53" s="73" t="str">
        <f t="shared" si="5"/>
        <v/>
      </c>
      <c r="W53" s="73" t="str">
        <f t="shared" si="3"/>
        <v/>
      </c>
      <c r="X53" s="74" t="str">
        <f t="shared" si="4"/>
        <v/>
      </c>
      <c r="Y53" s="108" t="str">
        <f>IF(X53="","",IF(COUNT(X53:X56)=4,(SUM(X53:X56)-MIN(X53:X56)),SUM(X53:X55)))</f>
        <v/>
      </c>
    </row>
    <row r="54" spans="1:25" x14ac:dyDescent="0.25">
      <c r="A54" s="9" t="str">
        <f>IF('Teams &amp; HM'!A82="","",'Teams &amp; HM'!A82)</f>
        <v/>
      </c>
      <c r="B54" s="72" t="str">
        <f>IF('Teams &amp; HM'!H85="","",'Teams &amp; HM'!H85)</f>
        <v/>
      </c>
      <c r="C54" s="72" t="str">
        <f>IF('Teams &amp; HM'!A85="","",'Teams &amp; HM'!A85)</f>
        <v/>
      </c>
      <c r="D54" s="72" t="str">
        <f>IF('Teams &amp; HM'!B85="","",'Teams &amp; HM'!B85)</f>
        <v/>
      </c>
      <c r="F54" s="7"/>
      <c r="G54" s="7"/>
      <c r="I54" s="64"/>
      <c r="J54" s="7"/>
      <c r="K54" s="7"/>
      <c r="L54" s="7"/>
      <c r="M54" s="72" t="str">
        <f t="shared" si="0"/>
        <v/>
      </c>
      <c r="O54" s="64"/>
      <c r="P54" s="7"/>
      <c r="Q54" s="7"/>
      <c r="R54" s="7"/>
      <c r="S54" s="72" t="str">
        <f t="shared" si="1"/>
        <v/>
      </c>
      <c r="U54" s="7"/>
      <c r="V54" s="73" t="str">
        <f t="shared" si="5"/>
        <v/>
      </c>
      <c r="W54" s="73" t="str">
        <f t="shared" si="3"/>
        <v/>
      </c>
      <c r="X54" s="74" t="str">
        <f t="shared" si="4"/>
        <v/>
      </c>
      <c r="Y54" s="109"/>
    </row>
    <row r="55" spans="1:25" x14ac:dyDescent="0.25">
      <c r="A55" s="9" t="str">
        <f>IF('Teams &amp; HM'!A82="","",'Teams &amp; HM'!A82)</f>
        <v/>
      </c>
      <c r="B55" s="72" t="str">
        <f>IF('Teams &amp; HM'!H86="","",'Teams &amp; HM'!H86)</f>
        <v/>
      </c>
      <c r="C55" s="72" t="str">
        <f>IF('Teams &amp; HM'!A86="","",'Teams &amp; HM'!A86)</f>
        <v/>
      </c>
      <c r="D55" s="72" t="str">
        <f>IF('Teams &amp; HM'!B86="","",'Teams &amp; HM'!B86)</f>
        <v/>
      </c>
      <c r="F55" s="7"/>
      <c r="G55" s="7"/>
      <c r="I55" s="64"/>
      <c r="J55" s="7"/>
      <c r="K55" s="7"/>
      <c r="L55" s="7"/>
      <c r="M55" s="72" t="str">
        <f t="shared" si="0"/>
        <v/>
      </c>
      <c r="O55" s="64"/>
      <c r="P55" s="7"/>
      <c r="Q55" s="7"/>
      <c r="R55" s="7"/>
      <c r="S55" s="72" t="str">
        <f t="shared" si="1"/>
        <v/>
      </c>
      <c r="U55" s="7"/>
      <c r="V55" s="73" t="str">
        <f t="shared" si="5"/>
        <v/>
      </c>
      <c r="W55" s="73" t="str">
        <f t="shared" si="3"/>
        <v/>
      </c>
      <c r="X55" s="74" t="str">
        <f t="shared" si="4"/>
        <v/>
      </c>
      <c r="Y55" s="109"/>
    </row>
    <row r="56" spans="1:25" x14ac:dyDescent="0.25">
      <c r="A56" s="9" t="str">
        <f>IF('Teams &amp; HM'!A82="","",'Teams &amp; HM'!A82)</f>
        <v/>
      </c>
      <c r="B56" s="72" t="str">
        <f>IF('Teams &amp; HM'!H87="","",'Teams &amp; HM'!H87)</f>
        <v/>
      </c>
      <c r="C56" s="72" t="str">
        <f>IF('Teams &amp; HM'!A87="","",'Teams &amp; HM'!A87)</f>
        <v/>
      </c>
      <c r="D56" s="72" t="str">
        <f>IF('Teams &amp; HM'!B87="","",'Teams &amp; HM'!B87)</f>
        <v/>
      </c>
      <c r="F56" s="7"/>
      <c r="G56" s="7"/>
      <c r="I56" s="64"/>
      <c r="J56" s="7"/>
      <c r="K56" s="7"/>
      <c r="L56" s="7"/>
      <c r="M56" s="72" t="str">
        <f t="shared" si="0"/>
        <v/>
      </c>
      <c r="O56" s="64"/>
      <c r="P56" s="7"/>
      <c r="Q56" s="7"/>
      <c r="R56" s="7"/>
      <c r="S56" s="72" t="str">
        <f t="shared" si="1"/>
        <v/>
      </c>
      <c r="U56" s="7"/>
      <c r="V56" s="73" t="str">
        <f t="shared" si="5"/>
        <v/>
      </c>
      <c r="W56" s="73" t="str">
        <f t="shared" si="3"/>
        <v/>
      </c>
      <c r="X56" s="74" t="str">
        <f t="shared" si="4"/>
        <v/>
      </c>
      <c r="Y56" s="110"/>
    </row>
    <row r="57" spans="1:25" s="54" customFormat="1" hidden="1" x14ac:dyDescent="0.25">
      <c r="A57" s="51" t="str">
        <f>IF('Teams &amp; HM'!A82="","",'Teams &amp; HM'!A82)</f>
        <v/>
      </c>
      <c r="B57" s="72" t="str">
        <f>IF('Teams &amp; HM'!H88="","",'Teams &amp; HM'!H88)</f>
        <v/>
      </c>
      <c r="C57" s="72" t="str">
        <f>IF('Teams &amp; HM'!A88="","",'Teams &amp; HM'!A88)</f>
        <v/>
      </c>
      <c r="D57" s="72" t="str">
        <f>IF('Teams &amp; HM'!B88="","",'Teams &amp; HM'!B88)</f>
        <v/>
      </c>
      <c r="E57" s="52"/>
      <c r="F57" s="53"/>
      <c r="G57" s="53"/>
      <c r="H57" s="52"/>
      <c r="I57" s="65"/>
      <c r="J57" s="53"/>
      <c r="K57" s="53"/>
      <c r="L57" s="53"/>
      <c r="M57" s="72" t="str">
        <f t="shared" si="0"/>
        <v/>
      </c>
      <c r="N57" s="52"/>
      <c r="O57" s="65"/>
      <c r="P57" s="53"/>
      <c r="Q57" s="53"/>
      <c r="R57" s="53"/>
      <c r="S57" s="72" t="str">
        <f t="shared" si="1"/>
        <v/>
      </c>
      <c r="U57" s="53"/>
      <c r="V57" s="73" t="str">
        <f t="shared" si="5"/>
        <v/>
      </c>
      <c r="W57" s="73" t="str">
        <f t="shared" si="3"/>
        <v/>
      </c>
      <c r="X57" s="74" t="str">
        <f t="shared" si="4"/>
        <v/>
      </c>
      <c r="Y57" s="75"/>
    </row>
    <row r="58" spans="1:25" x14ac:dyDescent="0.25">
      <c r="A58" s="9" t="str">
        <f>IF('Teams &amp; HM'!A90="","",'Teams &amp; HM'!A90)</f>
        <v/>
      </c>
      <c r="B58" s="72" t="str">
        <f>IF('Teams &amp; HM'!H92="","",'Teams &amp; HM'!H92)</f>
        <v/>
      </c>
      <c r="C58" s="72" t="str">
        <f>IF('Teams &amp; HM'!A92="","",'Teams &amp; HM'!A92)</f>
        <v/>
      </c>
      <c r="D58" s="72" t="str">
        <f>IF('Teams &amp; HM'!B92="","",'Teams &amp; HM'!B92)</f>
        <v/>
      </c>
      <c r="F58" s="7"/>
      <c r="G58" s="7"/>
      <c r="I58" s="64"/>
      <c r="J58" s="7"/>
      <c r="K58" s="7"/>
      <c r="L58" s="7"/>
      <c r="M58" s="72" t="str">
        <f t="shared" si="0"/>
        <v/>
      </c>
      <c r="O58" s="64"/>
      <c r="P58" s="7"/>
      <c r="Q58" s="7"/>
      <c r="R58" s="7"/>
      <c r="S58" s="72" t="str">
        <f t="shared" si="1"/>
        <v/>
      </c>
      <c r="U58" s="7"/>
      <c r="V58" s="73" t="str">
        <f t="shared" si="5"/>
        <v/>
      </c>
      <c r="W58" s="73" t="str">
        <f t="shared" si="3"/>
        <v/>
      </c>
      <c r="X58" s="74" t="str">
        <f t="shared" si="4"/>
        <v/>
      </c>
      <c r="Y58" s="108" t="str">
        <f>IF(X58="","",IF(COUNT(X58:X61)=4,(SUM(X58:X61)-MIN(X58:X61)),SUM(X58:X60)))</f>
        <v/>
      </c>
    </row>
    <row r="59" spans="1:25" x14ac:dyDescent="0.25">
      <c r="A59" s="9" t="str">
        <f>IF('Teams &amp; HM'!A90="","",'Teams &amp; HM'!A90)</f>
        <v/>
      </c>
      <c r="B59" s="72" t="str">
        <f>IF('Teams &amp; HM'!H93="","",'Teams &amp; HM'!H93)</f>
        <v/>
      </c>
      <c r="C59" s="72" t="str">
        <f>IF('Teams &amp; HM'!A93="","",'Teams &amp; HM'!A93)</f>
        <v/>
      </c>
      <c r="D59" s="72" t="str">
        <f>IF('Teams &amp; HM'!B93="","",'Teams &amp; HM'!B93)</f>
        <v/>
      </c>
      <c r="F59" s="7"/>
      <c r="G59" s="7"/>
      <c r="I59" s="64"/>
      <c r="J59" s="7"/>
      <c r="K59" s="7"/>
      <c r="L59" s="7"/>
      <c r="M59" s="72" t="str">
        <f t="shared" si="0"/>
        <v/>
      </c>
      <c r="O59" s="64"/>
      <c r="P59" s="7"/>
      <c r="Q59" s="7"/>
      <c r="R59" s="7"/>
      <c r="S59" s="72" t="str">
        <f t="shared" si="1"/>
        <v/>
      </c>
      <c r="U59" s="7"/>
      <c r="V59" s="73" t="str">
        <f t="shared" si="5"/>
        <v/>
      </c>
      <c r="W59" s="73" t="str">
        <f t="shared" si="3"/>
        <v/>
      </c>
      <c r="X59" s="74" t="str">
        <f t="shared" si="4"/>
        <v/>
      </c>
      <c r="Y59" s="109"/>
    </row>
    <row r="60" spans="1:25" x14ac:dyDescent="0.25">
      <c r="A60" s="9" t="str">
        <f>IF('Teams &amp; HM'!A90="","",'Teams &amp; HM'!A90)</f>
        <v/>
      </c>
      <c r="B60" s="72" t="str">
        <f>IF('Teams &amp; HM'!H94="","",'Teams &amp; HM'!H94)</f>
        <v/>
      </c>
      <c r="C60" s="72" t="str">
        <f>IF('Teams &amp; HM'!A94="","",'Teams &amp; HM'!A94)</f>
        <v/>
      </c>
      <c r="D60" s="72" t="str">
        <f>IF('Teams &amp; HM'!B94="","",'Teams &amp; HM'!B94)</f>
        <v/>
      </c>
      <c r="F60" s="7"/>
      <c r="G60" s="7"/>
      <c r="I60" s="64"/>
      <c r="J60" s="7"/>
      <c r="K60" s="7"/>
      <c r="L60" s="7"/>
      <c r="M60" s="72" t="str">
        <f t="shared" si="0"/>
        <v/>
      </c>
      <c r="O60" s="64"/>
      <c r="P60" s="7"/>
      <c r="Q60" s="7"/>
      <c r="R60" s="7"/>
      <c r="S60" s="72" t="str">
        <f t="shared" si="1"/>
        <v/>
      </c>
      <c r="U60" s="7"/>
      <c r="V60" s="73" t="str">
        <f t="shared" si="5"/>
        <v/>
      </c>
      <c r="W60" s="73" t="str">
        <f t="shared" si="3"/>
        <v/>
      </c>
      <c r="X60" s="74" t="str">
        <f t="shared" si="4"/>
        <v/>
      </c>
      <c r="Y60" s="109"/>
    </row>
    <row r="61" spans="1:25" x14ac:dyDescent="0.25">
      <c r="A61" s="9" t="str">
        <f>IF('Teams &amp; HM'!A90="","",'Teams &amp; HM'!A90)</f>
        <v/>
      </c>
      <c r="B61" s="72" t="str">
        <f>IF('Teams &amp; HM'!H95="","",'Teams &amp; HM'!H95)</f>
        <v/>
      </c>
      <c r="C61" s="72" t="str">
        <f>IF('Teams &amp; HM'!A95="","",'Teams &amp; HM'!A95)</f>
        <v/>
      </c>
      <c r="D61" s="72" t="str">
        <f>IF('Teams &amp; HM'!B95="","",'Teams &amp; HM'!B95)</f>
        <v/>
      </c>
      <c r="F61" s="7"/>
      <c r="G61" s="7"/>
      <c r="I61" s="64"/>
      <c r="J61" s="7"/>
      <c r="K61" s="7"/>
      <c r="L61" s="7"/>
      <c r="M61" s="72" t="str">
        <f t="shared" si="0"/>
        <v/>
      </c>
      <c r="O61" s="64"/>
      <c r="P61" s="7"/>
      <c r="Q61" s="7"/>
      <c r="R61" s="7"/>
      <c r="S61" s="72" t="str">
        <f t="shared" si="1"/>
        <v/>
      </c>
      <c r="U61" s="7"/>
      <c r="V61" s="73" t="str">
        <f t="shared" si="5"/>
        <v/>
      </c>
      <c r="W61" s="73" t="str">
        <f t="shared" si="3"/>
        <v/>
      </c>
      <c r="X61" s="74" t="str">
        <f t="shared" si="4"/>
        <v/>
      </c>
      <c r="Y61" s="110"/>
    </row>
    <row r="62" spans="1:25" s="54" customFormat="1" hidden="1" x14ac:dyDescent="0.25">
      <c r="A62" s="51" t="str">
        <f>IF('Teams &amp; HM'!A90="","",'Teams &amp; HM'!A90)</f>
        <v/>
      </c>
      <c r="B62" s="72" t="str">
        <f>IF('Teams &amp; HM'!H96="","",'Teams &amp; HM'!H96)</f>
        <v/>
      </c>
      <c r="C62" s="72" t="str">
        <f>IF('Teams &amp; HM'!A96="","",'Teams &amp; HM'!A96)</f>
        <v/>
      </c>
      <c r="D62" s="72" t="str">
        <f>IF('Teams &amp; HM'!B96="","",'Teams &amp; HM'!B96)</f>
        <v/>
      </c>
      <c r="E62" s="52"/>
      <c r="F62" s="53"/>
      <c r="G62" s="53"/>
      <c r="H62" s="52"/>
      <c r="I62" s="65"/>
      <c r="J62" s="53"/>
      <c r="K62" s="53"/>
      <c r="L62" s="53"/>
      <c r="M62" s="72" t="str">
        <f t="shared" si="0"/>
        <v/>
      </c>
      <c r="N62" s="52"/>
      <c r="O62" s="65"/>
      <c r="P62" s="53"/>
      <c r="Q62" s="53"/>
      <c r="R62" s="53"/>
      <c r="S62" s="72" t="str">
        <f t="shared" si="1"/>
        <v/>
      </c>
      <c r="U62" s="53"/>
      <c r="V62" s="73" t="str">
        <f t="shared" si="5"/>
        <v/>
      </c>
      <c r="W62" s="73" t="str">
        <f t="shared" si="3"/>
        <v/>
      </c>
      <c r="X62" s="74" t="str">
        <f t="shared" si="4"/>
        <v/>
      </c>
      <c r="Y62" s="75"/>
    </row>
    <row r="63" spans="1:25" x14ac:dyDescent="0.25">
      <c r="A63" s="9" t="str">
        <f>IF('Teams &amp; HM'!A98="","",'Teams &amp; HM'!A98)</f>
        <v/>
      </c>
      <c r="B63" s="72" t="str">
        <f>IF('Teams &amp; HM'!H100="","",'Teams &amp; HM'!H100)</f>
        <v/>
      </c>
      <c r="C63" s="72" t="str">
        <f>IF('Teams &amp; HM'!A100="","",'Teams &amp; HM'!A100)</f>
        <v/>
      </c>
      <c r="D63" s="72" t="str">
        <f>IF('Teams &amp; HM'!B100="","",'Teams &amp; HM'!B100)</f>
        <v/>
      </c>
      <c r="F63" s="7"/>
      <c r="G63" s="7"/>
      <c r="I63" s="64"/>
      <c r="J63" s="7"/>
      <c r="K63" s="7"/>
      <c r="L63" s="7"/>
      <c r="M63" s="72" t="str">
        <f t="shared" si="0"/>
        <v/>
      </c>
      <c r="O63" s="64"/>
      <c r="P63" s="7"/>
      <c r="Q63" s="7"/>
      <c r="R63" s="7"/>
      <c r="S63" s="72" t="str">
        <f t="shared" si="1"/>
        <v/>
      </c>
      <c r="U63" s="7"/>
      <c r="V63" s="73" t="str">
        <f t="shared" si="5"/>
        <v/>
      </c>
      <c r="W63" s="73" t="str">
        <f t="shared" si="3"/>
        <v/>
      </c>
      <c r="X63" s="74" t="str">
        <f t="shared" si="4"/>
        <v/>
      </c>
      <c r="Y63" s="108" t="str">
        <f>IF(X63="","",IF(COUNT(X63:X66)=4,(SUM(X63:X66)-MIN(X63:X66)),SUM(X63:X65)))</f>
        <v/>
      </c>
    </row>
    <row r="64" spans="1:25" x14ac:dyDescent="0.25">
      <c r="A64" s="9" t="str">
        <f>IF('Teams &amp; HM'!A98="","",'Teams &amp; HM'!A98)</f>
        <v/>
      </c>
      <c r="B64" s="72" t="str">
        <f>IF('Teams &amp; HM'!H101="","",'Teams &amp; HM'!H101)</f>
        <v/>
      </c>
      <c r="C64" s="72" t="str">
        <f>IF('Teams &amp; HM'!A101="","",'Teams &amp; HM'!A101)</f>
        <v/>
      </c>
      <c r="D64" s="72" t="str">
        <f>IF('Teams &amp; HM'!B101="","",'Teams &amp; HM'!B101)</f>
        <v/>
      </c>
      <c r="F64" s="7"/>
      <c r="G64" s="7"/>
      <c r="I64" s="64"/>
      <c r="J64" s="7"/>
      <c r="K64" s="7"/>
      <c r="L64" s="7"/>
      <c r="M64" s="72" t="str">
        <f t="shared" si="0"/>
        <v/>
      </c>
      <c r="O64" s="64"/>
      <c r="P64" s="7"/>
      <c r="Q64" s="7"/>
      <c r="R64" s="7"/>
      <c r="S64" s="72" t="str">
        <f t="shared" si="1"/>
        <v/>
      </c>
      <c r="U64" s="7"/>
      <c r="V64" s="73" t="str">
        <f t="shared" si="5"/>
        <v/>
      </c>
      <c r="W64" s="73" t="str">
        <f t="shared" si="3"/>
        <v/>
      </c>
      <c r="X64" s="74" t="str">
        <f t="shared" si="4"/>
        <v/>
      </c>
      <c r="Y64" s="109"/>
    </row>
    <row r="65" spans="1:25" x14ac:dyDescent="0.25">
      <c r="A65" s="9" t="str">
        <f>IF('Teams &amp; HM'!A98="","",'Teams &amp; HM'!A98)</f>
        <v/>
      </c>
      <c r="B65" s="72" t="str">
        <f>IF('Teams &amp; HM'!H102="","",'Teams &amp; HM'!H102)</f>
        <v/>
      </c>
      <c r="C65" s="72" t="str">
        <f>IF('Teams &amp; HM'!A102="","",'Teams &amp; HM'!A102)</f>
        <v/>
      </c>
      <c r="D65" s="72" t="str">
        <f>IF('Teams &amp; HM'!B102="","",'Teams &amp; HM'!B102)</f>
        <v/>
      </c>
      <c r="F65" s="7"/>
      <c r="G65" s="7"/>
      <c r="I65" s="64"/>
      <c r="J65" s="7"/>
      <c r="K65" s="7"/>
      <c r="L65" s="7"/>
      <c r="M65" s="72" t="str">
        <f t="shared" si="0"/>
        <v/>
      </c>
      <c r="O65" s="64"/>
      <c r="P65" s="7"/>
      <c r="Q65" s="7"/>
      <c r="R65" s="7"/>
      <c r="S65" s="72" t="str">
        <f t="shared" si="1"/>
        <v/>
      </c>
      <c r="U65" s="7"/>
      <c r="V65" s="73" t="str">
        <f t="shared" si="5"/>
        <v/>
      </c>
      <c r="W65" s="73" t="str">
        <f t="shared" si="3"/>
        <v/>
      </c>
      <c r="X65" s="74" t="str">
        <f t="shared" si="4"/>
        <v/>
      </c>
      <c r="Y65" s="109"/>
    </row>
    <row r="66" spans="1:25" x14ac:dyDescent="0.25">
      <c r="A66" s="9" t="str">
        <f>IF('Teams &amp; HM'!A98="","",'Teams &amp; HM'!A98)</f>
        <v/>
      </c>
      <c r="B66" s="72" t="str">
        <f>IF('Teams &amp; HM'!H103="","",'Teams &amp; HM'!H103)</f>
        <v/>
      </c>
      <c r="C66" s="72" t="str">
        <f>IF('Teams &amp; HM'!A103="","",'Teams &amp; HM'!A103)</f>
        <v/>
      </c>
      <c r="D66" s="72" t="str">
        <f>IF('Teams &amp; HM'!B103="","",'Teams &amp; HM'!B103)</f>
        <v/>
      </c>
      <c r="F66" s="7"/>
      <c r="G66" s="7"/>
      <c r="I66" s="64"/>
      <c r="J66" s="7"/>
      <c r="K66" s="7"/>
      <c r="L66" s="7"/>
      <c r="M66" s="72" t="str">
        <f t="shared" si="0"/>
        <v/>
      </c>
      <c r="O66" s="64"/>
      <c r="P66" s="7"/>
      <c r="Q66" s="7"/>
      <c r="R66" s="7"/>
      <c r="S66" s="72" t="str">
        <f t="shared" si="1"/>
        <v/>
      </c>
      <c r="U66" s="7"/>
      <c r="V66" s="73" t="str">
        <f t="shared" si="5"/>
        <v/>
      </c>
      <c r="W66" s="73" t="str">
        <f t="shared" si="3"/>
        <v/>
      </c>
      <c r="X66" s="74" t="str">
        <f t="shared" si="4"/>
        <v/>
      </c>
      <c r="Y66" s="110"/>
    </row>
    <row r="67" spans="1:25" s="54" customFormat="1" hidden="1" x14ac:dyDescent="0.25">
      <c r="A67" s="51" t="str">
        <f>IF('Teams &amp; HM'!A98="","",'Teams &amp; HM'!A98)</f>
        <v/>
      </c>
      <c r="B67" s="72" t="str">
        <f>IF('Teams &amp; HM'!H104="","",'Teams &amp; HM'!H104)</f>
        <v/>
      </c>
      <c r="C67" s="72" t="str">
        <f>IF('Teams &amp; HM'!A104="","",'Teams &amp; HM'!A104)</f>
        <v/>
      </c>
      <c r="D67" s="72" t="str">
        <f>IF('Teams &amp; HM'!B104="","",'Teams &amp; HM'!B104)</f>
        <v/>
      </c>
      <c r="E67" s="52"/>
      <c r="F67" s="53"/>
      <c r="G67" s="53"/>
      <c r="H67" s="52"/>
      <c r="I67" s="65"/>
      <c r="J67" s="53"/>
      <c r="K67" s="53"/>
      <c r="L67" s="53"/>
      <c r="M67" s="72" t="str">
        <f t="shared" si="0"/>
        <v/>
      </c>
      <c r="N67" s="52"/>
      <c r="O67" s="65"/>
      <c r="P67" s="53"/>
      <c r="Q67" s="53"/>
      <c r="R67" s="53"/>
      <c r="S67" s="72" t="str">
        <f t="shared" si="1"/>
        <v/>
      </c>
      <c r="U67" s="53"/>
      <c r="V67" s="73" t="str">
        <f t="shared" ref="V67:V82" si="6">IF(M67="","",+(1100-J67-M67)/2)</f>
        <v/>
      </c>
      <c r="W67" s="73" t="str">
        <f t="shared" si="3"/>
        <v/>
      </c>
      <c r="X67" s="74" t="str">
        <f t="shared" si="4"/>
        <v/>
      </c>
      <c r="Y67" s="75"/>
    </row>
    <row r="68" spans="1:25" x14ac:dyDescent="0.25">
      <c r="A68" s="9" t="str">
        <f>IF('Teams &amp; HM'!A106="","",'Teams &amp; HM'!A106)</f>
        <v/>
      </c>
      <c r="B68" s="72" t="str">
        <f>IF('Teams &amp; HM'!H108="","",'Teams &amp; HM'!H108)</f>
        <v/>
      </c>
      <c r="C68" s="72" t="str">
        <f>IF('Teams &amp; HM'!A108="","",'Teams &amp; HM'!A108)</f>
        <v/>
      </c>
      <c r="D68" s="72" t="str">
        <f>IF('Teams &amp; HM'!B108="","",'Teams &amp; HM'!B108)</f>
        <v/>
      </c>
      <c r="F68" s="7"/>
      <c r="G68" s="7"/>
      <c r="I68" s="64"/>
      <c r="J68" s="7"/>
      <c r="K68" s="7"/>
      <c r="L68" s="7"/>
      <c r="M68" s="72" t="str">
        <f t="shared" ref="M68:M82" si="7">IF(K68="","",SUM(K68:L68))</f>
        <v/>
      </c>
      <c r="O68" s="64"/>
      <c r="P68" s="7"/>
      <c r="Q68" s="7"/>
      <c r="R68" s="7"/>
      <c r="S68" s="72" t="str">
        <f t="shared" ref="S68:S82" si="8">IF(Q68="","",SUM(Q68:R68))</f>
        <v/>
      </c>
      <c r="U68" s="7"/>
      <c r="V68" s="73" t="str">
        <f t="shared" si="6"/>
        <v/>
      </c>
      <c r="W68" s="73" t="str">
        <f t="shared" ref="W68:W82" si="9">IF(S68="","",+(1100-P68-R70)/2)</f>
        <v/>
      </c>
      <c r="X68" s="74" t="str">
        <f t="shared" ref="X68:X82" si="10">IF(V68="","",(SUM(V68:W68)-U68))</f>
        <v/>
      </c>
      <c r="Y68" s="108" t="str">
        <f>IF(X68="","",IF(COUNT(X68:X71)=4,(SUM(X68:X71)-MIN(X68:X71)),SUM(X68:X70)))</f>
        <v/>
      </c>
    </row>
    <row r="69" spans="1:25" x14ac:dyDescent="0.25">
      <c r="A69" s="9" t="str">
        <f>IF('Teams &amp; HM'!A106="","",'Teams &amp; HM'!A106)</f>
        <v/>
      </c>
      <c r="B69" s="72" t="str">
        <f>IF('Teams &amp; HM'!H109="","",'Teams &amp; HM'!H109)</f>
        <v/>
      </c>
      <c r="C69" s="72" t="str">
        <f>IF('Teams &amp; HM'!A109="","",'Teams &amp; HM'!A109)</f>
        <v/>
      </c>
      <c r="D69" s="72" t="str">
        <f>IF('Teams &amp; HM'!B109="","",'Teams &amp; HM'!B109)</f>
        <v/>
      </c>
      <c r="F69" s="7"/>
      <c r="G69" s="7"/>
      <c r="I69" s="64"/>
      <c r="J69" s="7"/>
      <c r="K69" s="7"/>
      <c r="L69" s="7"/>
      <c r="M69" s="72" t="str">
        <f t="shared" si="7"/>
        <v/>
      </c>
      <c r="O69" s="64"/>
      <c r="P69" s="7"/>
      <c r="Q69" s="7"/>
      <c r="R69" s="7"/>
      <c r="S69" s="72" t="str">
        <f t="shared" si="8"/>
        <v/>
      </c>
      <c r="U69" s="7"/>
      <c r="V69" s="73" t="str">
        <f t="shared" si="6"/>
        <v/>
      </c>
      <c r="W69" s="73" t="str">
        <f t="shared" si="9"/>
        <v/>
      </c>
      <c r="X69" s="74" t="str">
        <f t="shared" si="10"/>
        <v/>
      </c>
      <c r="Y69" s="109"/>
    </row>
    <row r="70" spans="1:25" x14ac:dyDescent="0.25">
      <c r="A70" s="9" t="str">
        <f>IF('Teams &amp; HM'!A106="","",'Teams &amp; HM'!A106)</f>
        <v/>
      </c>
      <c r="B70" s="72" t="str">
        <f>IF('Teams &amp; HM'!H110="","",'Teams &amp; HM'!H110)</f>
        <v/>
      </c>
      <c r="C70" s="72" t="str">
        <f>IF('Teams &amp; HM'!A110="","",'Teams &amp; HM'!A110)</f>
        <v/>
      </c>
      <c r="D70" s="72" t="str">
        <f>IF('Teams &amp; HM'!B110="","",'Teams &amp; HM'!B110)</f>
        <v/>
      </c>
      <c r="F70" s="7"/>
      <c r="G70" s="7"/>
      <c r="I70" s="64"/>
      <c r="J70" s="7"/>
      <c r="K70" s="7"/>
      <c r="L70" s="7"/>
      <c r="M70" s="72" t="str">
        <f t="shared" si="7"/>
        <v/>
      </c>
      <c r="O70" s="64"/>
      <c r="P70" s="7"/>
      <c r="Q70" s="7"/>
      <c r="R70" s="7"/>
      <c r="S70" s="72" t="str">
        <f t="shared" si="8"/>
        <v/>
      </c>
      <c r="U70" s="7"/>
      <c r="V70" s="73" t="str">
        <f t="shared" si="6"/>
        <v/>
      </c>
      <c r="W70" s="73" t="str">
        <f t="shared" si="9"/>
        <v/>
      </c>
      <c r="X70" s="74" t="str">
        <f t="shared" si="10"/>
        <v/>
      </c>
      <c r="Y70" s="109"/>
    </row>
    <row r="71" spans="1:25" x14ac:dyDescent="0.25">
      <c r="A71" s="9" t="str">
        <f>IF('Teams &amp; HM'!A106="","",'Teams &amp; HM'!A106)</f>
        <v/>
      </c>
      <c r="B71" s="72" t="str">
        <f>IF('Teams &amp; HM'!H111="","",'Teams &amp; HM'!H111)</f>
        <v/>
      </c>
      <c r="C71" s="72" t="str">
        <f>IF('Teams &amp; HM'!A111="","",'Teams &amp; HM'!A111)</f>
        <v/>
      </c>
      <c r="D71" s="72" t="str">
        <f>IF('Teams &amp; HM'!B111="","",'Teams &amp; HM'!B111)</f>
        <v/>
      </c>
      <c r="F71" s="7"/>
      <c r="G71" s="7"/>
      <c r="I71" s="64"/>
      <c r="J71" s="7"/>
      <c r="K71" s="7"/>
      <c r="L71" s="7"/>
      <c r="M71" s="72" t="str">
        <f t="shared" si="7"/>
        <v/>
      </c>
      <c r="O71" s="64"/>
      <c r="P71" s="7"/>
      <c r="Q71" s="7"/>
      <c r="R71" s="7"/>
      <c r="S71" s="72" t="str">
        <f t="shared" si="8"/>
        <v/>
      </c>
      <c r="U71" s="7"/>
      <c r="V71" s="73" t="str">
        <f t="shared" si="6"/>
        <v/>
      </c>
      <c r="W71" s="73" t="str">
        <f t="shared" si="9"/>
        <v/>
      </c>
      <c r="X71" s="74" t="str">
        <f t="shared" si="10"/>
        <v/>
      </c>
      <c r="Y71" s="110"/>
    </row>
    <row r="72" spans="1:25" s="54" customFormat="1" hidden="1" x14ac:dyDescent="0.25">
      <c r="A72" s="51" t="str">
        <f>IF('Teams &amp; HM'!A106="","",'Teams &amp; HM'!A106)</f>
        <v/>
      </c>
      <c r="B72" s="72" t="str">
        <f>IF('Teams &amp; HM'!H112="","",'Teams &amp; HM'!H112)</f>
        <v/>
      </c>
      <c r="C72" s="72" t="str">
        <f>IF('Teams &amp; HM'!A112="","",'Teams &amp; HM'!A112)</f>
        <v/>
      </c>
      <c r="D72" s="72" t="str">
        <f>IF('Teams &amp; HM'!B112="","",'Teams &amp; HM'!B112)</f>
        <v/>
      </c>
      <c r="E72" s="52"/>
      <c r="F72" s="53"/>
      <c r="G72" s="53"/>
      <c r="H72" s="52"/>
      <c r="I72" s="65"/>
      <c r="J72" s="53"/>
      <c r="K72" s="53"/>
      <c r="L72" s="53"/>
      <c r="M72" s="72" t="str">
        <f t="shared" si="7"/>
        <v/>
      </c>
      <c r="N72" s="52"/>
      <c r="O72" s="65"/>
      <c r="P72" s="53"/>
      <c r="Q72" s="53"/>
      <c r="R72" s="53"/>
      <c r="S72" s="72" t="str">
        <f t="shared" si="8"/>
        <v/>
      </c>
      <c r="U72" s="53"/>
      <c r="V72" s="73" t="str">
        <f t="shared" si="6"/>
        <v/>
      </c>
      <c r="W72" s="73" t="str">
        <f t="shared" si="9"/>
        <v/>
      </c>
      <c r="X72" s="74" t="str">
        <f t="shared" si="10"/>
        <v/>
      </c>
      <c r="Y72" s="75"/>
    </row>
    <row r="73" spans="1:25" x14ac:dyDescent="0.25">
      <c r="A73" s="9" t="str">
        <f>IF('Teams &amp; HM'!A114="","",'Teams &amp; HM'!A114)</f>
        <v/>
      </c>
      <c r="B73" s="72" t="str">
        <f>IF('Teams &amp; HM'!H116="","",'Teams &amp; HM'!H116)</f>
        <v/>
      </c>
      <c r="C73" s="72" t="str">
        <f>IF('Teams &amp; HM'!A116="","",'Teams &amp; HM'!A116)</f>
        <v/>
      </c>
      <c r="D73" s="72" t="str">
        <f>IF('Teams &amp; HM'!B116="","",'Teams &amp; HM'!B116)</f>
        <v/>
      </c>
      <c r="F73" s="7"/>
      <c r="G73" s="7"/>
      <c r="I73" s="64"/>
      <c r="J73" s="7"/>
      <c r="K73" s="7"/>
      <c r="L73" s="7"/>
      <c r="M73" s="72" t="str">
        <f t="shared" si="7"/>
        <v/>
      </c>
      <c r="O73" s="64"/>
      <c r="P73" s="7"/>
      <c r="Q73" s="7"/>
      <c r="R73" s="7"/>
      <c r="S73" s="72" t="str">
        <f t="shared" si="8"/>
        <v/>
      </c>
      <c r="U73" s="7"/>
      <c r="V73" s="73" t="str">
        <f t="shared" si="6"/>
        <v/>
      </c>
      <c r="W73" s="73" t="str">
        <f t="shared" si="9"/>
        <v/>
      </c>
      <c r="X73" s="74" t="str">
        <f t="shared" si="10"/>
        <v/>
      </c>
      <c r="Y73" s="108" t="str">
        <f>IF(X73="","",IF(COUNT(X73:X76)=4,(SUM(X73:X76)-MIN(X73:X76)),SUM(X73:X75)))</f>
        <v/>
      </c>
    </row>
    <row r="74" spans="1:25" x14ac:dyDescent="0.25">
      <c r="A74" s="9" t="str">
        <f>IF('Teams &amp; HM'!A114="","",'Teams &amp; HM'!A114)</f>
        <v/>
      </c>
      <c r="B74" s="72" t="str">
        <f>IF('Teams &amp; HM'!H117="","",'Teams &amp; HM'!H117)</f>
        <v/>
      </c>
      <c r="C74" s="72" t="str">
        <f>IF('Teams &amp; HM'!A117="","",'Teams &amp; HM'!A117)</f>
        <v/>
      </c>
      <c r="D74" s="72" t="str">
        <f>IF('Teams &amp; HM'!B117="","",'Teams &amp; HM'!B117)</f>
        <v/>
      </c>
      <c r="F74" s="7"/>
      <c r="G74" s="7"/>
      <c r="I74" s="64"/>
      <c r="J74" s="7"/>
      <c r="K74" s="7"/>
      <c r="L74" s="7"/>
      <c r="M74" s="72" t="str">
        <f t="shared" si="7"/>
        <v/>
      </c>
      <c r="O74" s="64"/>
      <c r="P74" s="7"/>
      <c r="Q74" s="7"/>
      <c r="R74" s="7"/>
      <c r="S74" s="72" t="str">
        <f t="shared" si="8"/>
        <v/>
      </c>
      <c r="U74" s="7"/>
      <c r="V74" s="73" t="str">
        <f t="shared" si="6"/>
        <v/>
      </c>
      <c r="W74" s="73" t="str">
        <f t="shared" si="9"/>
        <v/>
      </c>
      <c r="X74" s="74" t="str">
        <f t="shared" si="10"/>
        <v/>
      </c>
      <c r="Y74" s="109"/>
    </row>
    <row r="75" spans="1:25" x14ac:dyDescent="0.25">
      <c r="A75" s="9" t="str">
        <f>IF('Teams &amp; HM'!A114="","",'Teams &amp; HM'!A114)</f>
        <v/>
      </c>
      <c r="B75" s="72" t="str">
        <f>IF('Teams &amp; HM'!H118="","",'Teams &amp; HM'!H118)</f>
        <v/>
      </c>
      <c r="C75" s="72" t="str">
        <f>IF('Teams &amp; HM'!A118="","",'Teams &amp; HM'!A118)</f>
        <v/>
      </c>
      <c r="D75" s="72" t="str">
        <f>IF('Teams &amp; HM'!B118="","",'Teams &amp; HM'!B118)</f>
        <v/>
      </c>
      <c r="F75" s="7"/>
      <c r="G75" s="7"/>
      <c r="I75" s="64"/>
      <c r="J75" s="7"/>
      <c r="K75" s="7"/>
      <c r="L75" s="7"/>
      <c r="M75" s="72" t="str">
        <f t="shared" si="7"/>
        <v/>
      </c>
      <c r="O75" s="64"/>
      <c r="P75" s="7"/>
      <c r="Q75" s="7"/>
      <c r="R75" s="7"/>
      <c r="S75" s="72" t="str">
        <f t="shared" si="8"/>
        <v/>
      </c>
      <c r="U75" s="7"/>
      <c r="V75" s="73" t="str">
        <f t="shared" si="6"/>
        <v/>
      </c>
      <c r="W75" s="73" t="str">
        <f t="shared" si="9"/>
        <v/>
      </c>
      <c r="X75" s="74" t="str">
        <f t="shared" si="10"/>
        <v/>
      </c>
      <c r="Y75" s="109"/>
    </row>
    <row r="76" spans="1:25" x14ac:dyDescent="0.25">
      <c r="A76" s="9" t="str">
        <f>IF('Teams &amp; HM'!A114="","",'Teams &amp; HM'!A114)</f>
        <v/>
      </c>
      <c r="B76" s="72" t="str">
        <f>IF('Teams &amp; HM'!H119="","",'Teams &amp; HM'!H119)</f>
        <v/>
      </c>
      <c r="C76" s="72" t="str">
        <f>IF('Teams &amp; HM'!A119="","",'Teams &amp; HM'!A119)</f>
        <v/>
      </c>
      <c r="D76" s="72" t="str">
        <f>IF('Teams &amp; HM'!B119="","",'Teams &amp; HM'!B119)</f>
        <v/>
      </c>
      <c r="F76" s="7"/>
      <c r="G76" s="7"/>
      <c r="I76" s="64"/>
      <c r="J76" s="7"/>
      <c r="K76" s="7"/>
      <c r="L76" s="7"/>
      <c r="M76" s="72" t="str">
        <f t="shared" si="7"/>
        <v/>
      </c>
      <c r="O76" s="64"/>
      <c r="P76" s="7"/>
      <c r="Q76" s="7"/>
      <c r="R76" s="7"/>
      <c r="S76" s="72" t="str">
        <f t="shared" si="8"/>
        <v/>
      </c>
      <c r="U76" s="7"/>
      <c r="V76" s="73" t="str">
        <f t="shared" si="6"/>
        <v/>
      </c>
      <c r="W76" s="73" t="str">
        <f t="shared" si="9"/>
        <v/>
      </c>
      <c r="X76" s="74" t="str">
        <f t="shared" si="10"/>
        <v/>
      </c>
      <c r="Y76" s="110"/>
    </row>
    <row r="77" spans="1:25" s="54" customFormat="1" hidden="1" x14ac:dyDescent="0.25">
      <c r="A77" s="51" t="str">
        <f>IF('Teams &amp; HM'!A114="","",'Teams &amp; HM'!A114)</f>
        <v/>
      </c>
      <c r="B77" s="72" t="str">
        <f>IF('Teams &amp; HM'!H120="","",'Teams &amp; HM'!H120)</f>
        <v/>
      </c>
      <c r="C77" s="72" t="str">
        <f>IF('Teams &amp; HM'!A120="","",'Teams &amp; HM'!A120)</f>
        <v/>
      </c>
      <c r="D77" s="72" t="str">
        <f>IF('Teams &amp; HM'!B120="","",'Teams &amp; HM'!B120)</f>
        <v/>
      </c>
      <c r="E77" s="52"/>
      <c r="F77" s="53"/>
      <c r="G77" s="53"/>
      <c r="H77" s="52"/>
      <c r="I77" s="65"/>
      <c r="J77" s="53"/>
      <c r="K77" s="53"/>
      <c r="L77" s="53"/>
      <c r="M77" s="72" t="str">
        <f t="shared" si="7"/>
        <v/>
      </c>
      <c r="N77" s="52"/>
      <c r="O77" s="65"/>
      <c r="P77" s="53"/>
      <c r="Q77" s="53"/>
      <c r="R77" s="53"/>
      <c r="S77" s="72" t="str">
        <f t="shared" si="8"/>
        <v/>
      </c>
      <c r="U77" s="53"/>
      <c r="V77" s="73" t="str">
        <f t="shared" si="6"/>
        <v/>
      </c>
      <c r="W77" s="73" t="str">
        <f t="shared" si="9"/>
        <v/>
      </c>
      <c r="X77" s="74" t="str">
        <f t="shared" si="10"/>
        <v/>
      </c>
      <c r="Y77" s="75"/>
    </row>
    <row r="78" spans="1:25" x14ac:dyDescent="0.25">
      <c r="A78" s="9" t="str">
        <f>IF('Teams &amp; HM'!A122="","",'Teams &amp; HM'!A122)</f>
        <v/>
      </c>
      <c r="B78" s="72" t="str">
        <f>IF('Teams &amp; HM'!H124="","",'Teams &amp; HM'!H124)</f>
        <v/>
      </c>
      <c r="C78" s="72" t="str">
        <f>IF('Teams &amp; HM'!A124="","",'Teams &amp; HM'!A124)</f>
        <v/>
      </c>
      <c r="D78" s="72" t="str">
        <f>IF('Teams &amp; HM'!B124="","",'Teams &amp; HM'!B124)</f>
        <v/>
      </c>
      <c r="F78" s="7"/>
      <c r="G78" s="7"/>
      <c r="I78" s="64"/>
      <c r="J78" s="7"/>
      <c r="K78" s="7"/>
      <c r="L78" s="7"/>
      <c r="M78" s="72" t="str">
        <f t="shared" si="7"/>
        <v/>
      </c>
      <c r="O78" s="64"/>
      <c r="P78" s="7"/>
      <c r="Q78" s="7"/>
      <c r="R78" s="7"/>
      <c r="S78" s="72" t="str">
        <f t="shared" si="8"/>
        <v/>
      </c>
      <c r="U78" s="7"/>
      <c r="V78" s="73" t="str">
        <f t="shared" si="6"/>
        <v/>
      </c>
      <c r="W78" s="73" t="str">
        <f t="shared" si="9"/>
        <v/>
      </c>
      <c r="X78" s="74" t="str">
        <f t="shared" si="10"/>
        <v/>
      </c>
      <c r="Y78" s="108" t="str">
        <f>IF(X78="","",IF(COUNT(X78:X81)=4,(SUM(X78:X81)-MIN(X78:X81)),SUM(X78:X80)))</f>
        <v/>
      </c>
    </row>
    <row r="79" spans="1:25" x14ac:dyDescent="0.25">
      <c r="A79" s="9" t="str">
        <f>IF('Teams &amp; HM'!A122="","",'Teams &amp; HM'!A122)</f>
        <v/>
      </c>
      <c r="B79" s="72" t="str">
        <f>IF('Teams &amp; HM'!H125="","",'Teams &amp; HM'!H125)</f>
        <v/>
      </c>
      <c r="C79" s="72" t="str">
        <f>IF('Teams &amp; HM'!A125="","",'Teams &amp; HM'!A125)</f>
        <v/>
      </c>
      <c r="D79" s="72" t="str">
        <f>IF('Teams &amp; HM'!B125="","",'Teams &amp; HM'!B125)</f>
        <v/>
      </c>
      <c r="F79" s="7"/>
      <c r="G79" s="7"/>
      <c r="I79" s="64"/>
      <c r="J79" s="7"/>
      <c r="K79" s="7"/>
      <c r="L79" s="7"/>
      <c r="M79" s="72" t="str">
        <f t="shared" si="7"/>
        <v/>
      </c>
      <c r="O79" s="64"/>
      <c r="P79" s="7"/>
      <c r="Q79" s="7"/>
      <c r="R79" s="7"/>
      <c r="S79" s="72" t="str">
        <f t="shared" si="8"/>
        <v/>
      </c>
      <c r="U79" s="7"/>
      <c r="V79" s="73" t="str">
        <f t="shared" si="6"/>
        <v/>
      </c>
      <c r="W79" s="73" t="str">
        <f t="shared" si="9"/>
        <v/>
      </c>
      <c r="X79" s="74" t="str">
        <f t="shared" si="10"/>
        <v/>
      </c>
      <c r="Y79" s="109"/>
    </row>
    <row r="80" spans="1:25" x14ac:dyDescent="0.25">
      <c r="A80" s="9" t="str">
        <f>IF('Teams &amp; HM'!A122="","",'Teams &amp; HM'!A122)</f>
        <v/>
      </c>
      <c r="B80" s="72" t="str">
        <f>IF('Teams &amp; HM'!H126="","",'Teams &amp; HM'!H126)</f>
        <v/>
      </c>
      <c r="C80" s="72" t="str">
        <f>IF('Teams &amp; HM'!A126="","",'Teams &amp; HM'!A126)</f>
        <v/>
      </c>
      <c r="D80" s="72" t="str">
        <f>IF('Teams &amp; HM'!B126="","",'Teams &amp; HM'!B126)</f>
        <v/>
      </c>
      <c r="F80" s="7"/>
      <c r="G80" s="7"/>
      <c r="I80" s="64"/>
      <c r="J80" s="7"/>
      <c r="K80" s="7"/>
      <c r="L80" s="7"/>
      <c r="M80" s="72" t="str">
        <f t="shared" si="7"/>
        <v/>
      </c>
      <c r="O80" s="64"/>
      <c r="P80" s="7"/>
      <c r="Q80" s="7"/>
      <c r="R80" s="7"/>
      <c r="S80" s="72" t="str">
        <f t="shared" si="8"/>
        <v/>
      </c>
      <c r="U80" s="7"/>
      <c r="V80" s="73" t="str">
        <f t="shared" si="6"/>
        <v/>
      </c>
      <c r="W80" s="73" t="str">
        <f t="shared" si="9"/>
        <v/>
      </c>
      <c r="X80" s="74" t="str">
        <f t="shared" si="10"/>
        <v/>
      </c>
      <c r="Y80" s="109"/>
    </row>
    <row r="81" spans="1:25" x14ac:dyDescent="0.25">
      <c r="A81" s="9" t="str">
        <f>IF('Teams &amp; HM'!A122="","",'Teams &amp; HM'!A122)</f>
        <v/>
      </c>
      <c r="B81" s="72" t="str">
        <f>IF('Teams &amp; HM'!H127="","",'Teams &amp; HM'!H127)</f>
        <v/>
      </c>
      <c r="C81" s="72" t="str">
        <f>IF('Teams &amp; HM'!A127="","",'Teams &amp; HM'!A127)</f>
        <v/>
      </c>
      <c r="D81" s="72" t="str">
        <f>IF('Teams &amp; HM'!B127="","",'Teams &amp; HM'!B127)</f>
        <v/>
      </c>
      <c r="F81" s="7"/>
      <c r="G81" s="7"/>
      <c r="I81" s="64"/>
      <c r="J81" s="7"/>
      <c r="K81" s="7"/>
      <c r="L81" s="7"/>
      <c r="M81" s="72" t="str">
        <f t="shared" si="7"/>
        <v/>
      </c>
      <c r="O81" s="64"/>
      <c r="P81" s="7"/>
      <c r="Q81" s="7"/>
      <c r="R81" s="7"/>
      <c r="S81" s="72" t="str">
        <f t="shared" si="8"/>
        <v/>
      </c>
      <c r="U81" s="7"/>
      <c r="V81" s="73" t="str">
        <f t="shared" si="6"/>
        <v/>
      </c>
      <c r="W81" s="73" t="str">
        <f t="shared" si="9"/>
        <v/>
      </c>
      <c r="X81" s="74" t="str">
        <f t="shared" si="10"/>
        <v/>
      </c>
      <c r="Y81" s="110"/>
    </row>
    <row r="82" spans="1:25" s="54" customFormat="1" hidden="1" x14ac:dyDescent="0.25">
      <c r="A82" s="51" t="str">
        <f>IF('Teams &amp; HM'!A122="","",'Teams &amp; HM'!A122)</f>
        <v/>
      </c>
      <c r="B82" s="72" t="str">
        <f>IF('Teams &amp; HM'!H128="","",'Teams &amp; HM'!H128)</f>
        <v/>
      </c>
      <c r="C82" s="72" t="str">
        <f>IF('Teams &amp; HM'!A128="","",'Teams &amp; HM'!A128)</f>
        <v/>
      </c>
      <c r="D82" s="72" t="str">
        <f>IF('Teams &amp; HM'!B128="","",'Teams &amp; HM'!B128)</f>
        <v/>
      </c>
      <c r="E82" s="52"/>
      <c r="F82" s="53"/>
      <c r="G82" s="53"/>
      <c r="H82" s="52"/>
      <c r="I82" s="65"/>
      <c r="J82" s="53"/>
      <c r="K82" s="53"/>
      <c r="L82" s="53"/>
      <c r="M82" s="72" t="str">
        <f t="shared" si="7"/>
        <v/>
      </c>
      <c r="N82" s="52"/>
      <c r="O82" s="65"/>
      <c r="P82" s="53"/>
      <c r="Q82" s="53"/>
      <c r="R82" s="53"/>
      <c r="S82" s="72" t="str">
        <f t="shared" si="8"/>
        <v/>
      </c>
      <c r="U82" s="53"/>
      <c r="V82" s="73" t="str">
        <f t="shared" si="6"/>
        <v/>
      </c>
      <c r="W82" s="73" t="str">
        <f t="shared" si="9"/>
        <v/>
      </c>
      <c r="X82" s="74" t="str">
        <f t="shared" si="10"/>
        <v/>
      </c>
      <c r="Y82" s="75"/>
    </row>
    <row r="83" spans="1:25" x14ac:dyDescent="0.25">
      <c r="A83" s="9" t="str">
        <f>IF('Teams &amp; HM'!A130="","",'Teams &amp; HM'!A130)</f>
        <v/>
      </c>
      <c r="B83" s="72" t="str">
        <f>IF('Teams &amp; HM'!H132="","",'Teams &amp; HM'!H132)</f>
        <v/>
      </c>
      <c r="C83" s="72" t="str">
        <f>IF('Teams &amp; HM'!A132="","",'Teams &amp; HM'!A132)</f>
        <v/>
      </c>
      <c r="D83" s="72" t="str">
        <f>IF('Teams &amp; HM'!B132="","",'Teams &amp; HM'!B132)</f>
        <v/>
      </c>
      <c r="F83" s="7"/>
      <c r="G83" s="7"/>
      <c r="I83" s="64"/>
      <c r="J83" s="7"/>
      <c r="K83" s="7"/>
      <c r="L83" s="7"/>
      <c r="M83" s="72" t="str">
        <f t="shared" ref="M83:M102" si="11">IF(K83="","",SUM(K83:L83))</f>
        <v/>
      </c>
      <c r="O83" s="64"/>
      <c r="P83" s="7"/>
      <c r="Q83" s="7"/>
      <c r="R83" s="7"/>
      <c r="S83" s="72" t="str">
        <f t="shared" ref="S83:S102" si="12">IF(Q83="","",SUM(Q83:R83))</f>
        <v/>
      </c>
      <c r="U83" s="7"/>
      <c r="V83" s="73" t="str">
        <f t="shared" ref="V83:V102" si="13">IF(M83="","",+(1100-J83-M83)/2)</f>
        <v/>
      </c>
      <c r="W83" s="73" t="str">
        <f t="shared" ref="W83:W102" si="14">IF(S83="","",+(1100-P83-R85)/2)</f>
        <v/>
      </c>
      <c r="X83" s="74" t="str">
        <f t="shared" ref="X83:X102" si="15">IF(V83="","",(SUM(V83:W83)-U83))</f>
        <v/>
      </c>
      <c r="Y83" s="108" t="str">
        <f>IF(X83="","",IF(COUNT(X83:X86)=4,(SUM(X83:X86)-MIN(X83:X86)),SUM(X83:X85)))</f>
        <v/>
      </c>
    </row>
    <row r="84" spans="1:25" x14ac:dyDescent="0.25">
      <c r="A84" s="9" t="str">
        <f>IF('Teams &amp; HM'!A130="","",'Teams &amp; HM'!A130)</f>
        <v/>
      </c>
      <c r="B84" s="72" t="str">
        <f>IF('Teams &amp; HM'!H133="","",'Teams &amp; HM'!H133)</f>
        <v/>
      </c>
      <c r="C84" s="72" t="str">
        <f>IF('Teams &amp; HM'!A133="","",'Teams &amp; HM'!A133)</f>
        <v/>
      </c>
      <c r="D84" s="72" t="str">
        <f>IF('Teams &amp; HM'!B133="","",'Teams &amp; HM'!B133)</f>
        <v/>
      </c>
      <c r="F84" s="7"/>
      <c r="G84" s="7"/>
      <c r="I84" s="64"/>
      <c r="J84" s="7"/>
      <c r="K84" s="7"/>
      <c r="L84" s="7"/>
      <c r="M84" s="72" t="str">
        <f t="shared" si="11"/>
        <v/>
      </c>
      <c r="O84" s="64"/>
      <c r="P84" s="7"/>
      <c r="Q84" s="7"/>
      <c r="R84" s="7"/>
      <c r="S84" s="72" t="str">
        <f t="shared" si="12"/>
        <v/>
      </c>
      <c r="U84" s="7"/>
      <c r="V84" s="73" t="str">
        <f t="shared" si="13"/>
        <v/>
      </c>
      <c r="W84" s="73" t="str">
        <f t="shared" si="14"/>
        <v/>
      </c>
      <c r="X84" s="74" t="str">
        <f t="shared" si="15"/>
        <v/>
      </c>
      <c r="Y84" s="109"/>
    </row>
    <row r="85" spans="1:25" x14ac:dyDescent="0.25">
      <c r="A85" s="9" t="str">
        <f>IF('Teams &amp; HM'!A130="","",'Teams &amp; HM'!A130)</f>
        <v/>
      </c>
      <c r="B85" s="72" t="str">
        <f>IF('Teams &amp; HM'!H134="","",'Teams &amp; HM'!H134)</f>
        <v/>
      </c>
      <c r="C85" s="72" t="str">
        <f>IF('Teams &amp; HM'!A134="","",'Teams &amp; HM'!A134)</f>
        <v/>
      </c>
      <c r="D85" s="72" t="str">
        <f>IF('Teams &amp; HM'!B134="","",'Teams &amp; HM'!B134)</f>
        <v/>
      </c>
      <c r="F85" s="7"/>
      <c r="G85" s="7"/>
      <c r="I85" s="64"/>
      <c r="J85" s="7"/>
      <c r="K85" s="7"/>
      <c r="L85" s="7"/>
      <c r="M85" s="72" t="str">
        <f t="shared" si="11"/>
        <v/>
      </c>
      <c r="O85" s="64"/>
      <c r="P85" s="7"/>
      <c r="Q85" s="7"/>
      <c r="R85" s="7"/>
      <c r="S85" s="72" t="str">
        <f t="shared" si="12"/>
        <v/>
      </c>
      <c r="U85" s="7"/>
      <c r="V85" s="73" t="str">
        <f t="shared" si="13"/>
        <v/>
      </c>
      <c r="W85" s="73" t="str">
        <f t="shared" si="14"/>
        <v/>
      </c>
      <c r="X85" s="74" t="str">
        <f t="shared" si="15"/>
        <v/>
      </c>
      <c r="Y85" s="109"/>
    </row>
    <row r="86" spans="1:25" x14ac:dyDescent="0.25">
      <c r="A86" s="9" t="str">
        <f>IF('Teams &amp; HM'!A130="","",'Teams &amp; HM'!A130)</f>
        <v/>
      </c>
      <c r="B86" s="72" t="str">
        <f>IF('Teams &amp; HM'!H135="","",'Teams &amp; HM'!H135)</f>
        <v/>
      </c>
      <c r="C86" s="72" t="str">
        <f>IF('Teams &amp; HM'!A135="","",'Teams &amp; HM'!A135)</f>
        <v/>
      </c>
      <c r="D86" s="72" t="str">
        <f>IF('Teams &amp; HM'!B135="","",'Teams &amp; HM'!B135)</f>
        <v/>
      </c>
      <c r="F86" s="7"/>
      <c r="G86" s="7"/>
      <c r="I86" s="64"/>
      <c r="J86" s="7"/>
      <c r="K86" s="7"/>
      <c r="L86" s="7"/>
      <c r="M86" s="72" t="str">
        <f t="shared" si="11"/>
        <v/>
      </c>
      <c r="O86" s="64"/>
      <c r="P86" s="7"/>
      <c r="Q86" s="7"/>
      <c r="R86" s="7"/>
      <c r="S86" s="72" t="str">
        <f t="shared" si="12"/>
        <v/>
      </c>
      <c r="U86" s="7"/>
      <c r="V86" s="73" t="str">
        <f t="shared" si="13"/>
        <v/>
      </c>
      <c r="W86" s="73" t="str">
        <f t="shared" si="14"/>
        <v/>
      </c>
      <c r="X86" s="74" t="str">
        <f t="shared" si="15"/>
        <v/>
      </c>
      <c r="Y86" s="110"/>
    </row>
    <row r="87" spans="1:25" s="54" customFormat="1" hidden="1" x14ac:dyDescent="0.25">
      <c r="A87" s="51" t="str">
        <f>IF('Teams &amp; HM'!A130="","",'Teams &amp; HM'!A130)</f>
        <v/>
      </c>
      <c r="B87" s="72" t="str">
        <f>IF('Teams &amp; HM'!H136="","",'Teams &amp; HM'!H136)</f>
        <v/>
      </c>
      <c r="C87" s="72" t="str">
        <f>IF('Teams &amp; HM'!A136="","",'Teams &amp; HM'!A136)</f>
        <v/>
      </c>
      <c r="D87" s="72" t="str">
        <f>IF('Teams &amp; HM'!B136="","",'Teams &amp; HM'!B136)</f>
        <v/>
      </c>
      <c r="E87" s="52"/>
      <c r="F87" s="53"/>
      <c r="G87" s="53"/>
      <c r="H87" s="52"/>
      <c r="I87" s="65"/>
      <c r="J87" s="53"/>
      <c r="K87" s="53"/>
      <c r="L87" s="53"/>
      <c r="M87" s="72" t="str">
        <f t="shared" si="11"/>
        <v/>
      </c>
      <c r="N87" s="52"/>
      <c r="O87" s="65"/>
      <c r="P87" s="53"/>
      <c r="Q87" s="53"/>
      <c r="R87" s="53"/>
      <c r="S87" s="72" t="str">
        <f t="shared" si="12"/>
        <v/>
      </c>
      <c r="U87" s="53"/>
      <c r="V87" s="73" t="str">
        <f t="shared" si="13"/>
        <v/>
      </c>
      <c r="W87" s="73" t="str">
        <f t="shared" si="14"/>
        <v/>
      </c>
      <c r="X87" s="74" t="str">
        <f t="shared" si="15"/>
        <v/>
      </c>
      <c r="Y87" s="75"/>
    </row>
    <row r="88" spans="1:25" x14ac:dyDescent="0.25">
      <c r="A88" s="9" t="str">
        <f>IF('Teams &amp; HM'!A138="","",'Teams &amp; HM'!A138)</f>
        <v/>
      </c>
      <c r="B88" s="72" t="str">
        <f>IF('Teams &amp; HM'!H140="","",'Teams &amp; HM'!H140)</f>
        <v/>
      </c>
      <c r="C88" s="72" t="str">
        <f>IF('Teams &amp; HM'!A140="","",'Teams &amp; HM'!A140)</f>
        <v/>
      </c>
      <c r="D88" s="72" t="str">
        <f>IF('Teams &amp; HM'!B140="","",'Teams &amp; HM'!B140)</f>
        <v/>
      </c>
      <c r="F88" s="7"/>
      <c r="G88" s="7"/>
      <c r="I88" s="64"/>
      <c r="J88" s="7"/>
      <c r="K88" s="7"/>
      <c r="L88" s="7"/>
      <c r="M88" s="72" t="str">
        <f t="shared" si="11"/>
        <v/>
      </c>
      <c r="O88" s="64"/>
      <c r="P88" s="7"/>
      <c r="Q88" s="7"/>
      <c r="R88" s="7"/>
      <c r="S88" s="72" t="str">
        <f t="shared" si="12"/>
        <v/>
      </c>
      <c r="U88" s="7"/>
      <c r="V88" s="73" t="str">
        <f t="shared" si="13"/>
        <v/>
      </c>
      <c r="W88" s="73" t="str">
        <f t="shared" si="14"/>
        <v/>
      </c>
      <c r="X88" s="74" t="str">
        <f t="shared" si="15"/>
        <v/>
      </c>
      <c r="Y88" s="108" t="str">
        <f>IF(X88="","",IF(COUNT(X88:X91)=4,(SUM(X88:X91)-MIN(X88:X91)),SUM(X88:X90)))</f>
        <v/>
      </c>
    </row>
    <row r="89" spans="1:25" x14ac:dyDescent="0.25">
      <c r="A89" s="9" t="str">
        <f>IF('Teams &amp; HM'!A138="","",'Teams &amp; HM'!A138)</f>
        <v/>
      </c>
      <c r="B89" s="72" t="str">
        <f>IF('Teams &amp; HM'!H141="","",'Teams &amp; HM'!H141)</f>
        <v/>
      </c>
      <c r="C89" s="72" t="str">
        <f>IF('Teams &amp; HM'!A141="","",'Teams &amp; HM'!A141)</f>
        <v/>
      </c>
      <c r="D89" s="72" t="str">
        <f>IF('Teams &amp; HM'!B141="","",'Teams &amp; HM'!B141)</f>
        <v/>
      </c>
      <c r="F89" s="7"/>
      <c r="G89" s="7"/>
      <c r="I89" s="64"/>
      <c r="J89" s="7"/>
      <c r="K89" s="7"/>
      <c r="L89" s="7"/>
      <c r="M89" s="72" t="str">
        <f t="shared" si="11"/>
        <v/>
      </c>
      <c r="O89" s="64"/>
      <c r="P89" s="7"/>
      <c r="Q89" s="7"/>
      <c r="R89" s="7"/>
      <c r="S89" s="72" t="str">
        <f t="shared" si="12"/>
        <v/>
      </c>
      <c r="U89" s="7"/>
      <c r="V89" s="73" t="str">
        <f t="shared" si="13"/>
        <v/>
      </c>
      <c r="W89" s="73" t="str">
        <f t="shared" si="14"/>
        <v/>
      </c>
      <c r="X89" s="74" t="str">
        <f t="shared" si="15"/>
        <v/>
      </c>
      <c r="Y89" s="109"/>
    </row>
    <row r="90" spans="1:25" x14ac:dyDescent="0.25">
      <c r="A90" s="9" t="str">
        <f>IF('Teams &amp; HM'!A138="","",'Teams &amp; HM'!A138)</f>
        <v/>
      </c>
      <c r="B90" s="72" t="str">
        <f>IF('Teams &amp; HM'!H142="","",'Teams &amp; HM'!H142)</f>
        <v/>
      </c>
      <c r="C90" s="72" t="str">
        <f>IF('Teams &amp; HM'!A142="","",'Teams &amp; HM'!A142)</f>
        <v/>
      </c>
      <c r="D90" s="72" t="str">
        <f>IF('Teams &amp; HM'!B142="","",'Teams &amp; HM'!B142)</f>
        <v/>
      </c>
      <c r="F90" s="7"/>
      <c r="G90" s="7"/>
      <c r="I90" s="64"/>
      <c r="J90" s="7"/>
      <c r="K90" s="7"/>
      <c r="L90" s="7"/>
      <c r="M90" s="72" t="str">
        <f t="shared" si="11"/>
        <v/>
      </c>
      <c r="O90" s="64"/>
      <c r="P90" s="7"/>
      <c r="Q90" s="7"/>
      <c r="R90" s="7"/>
      <c r="S90" s="72" t="str">
        <f t="shared" si="12"/>
        <v/>
      </c>
      <c r="U90" s="7"/>
      <c r="V90" s="73" t="str">
        <f t="shared" si="13"/>
        <v/>
      </c>
      <c r="W90" s="73" t="str">
        <f t="shared" si="14"/>
        <v/>
      </c>
      <c r="X90" s="74" t="str">
        <f t="shared" si="15"/>
        <v/>
      </c>
      <c r="Y90" s="109"/>
    </row>
    <row r="91" spans="1:25" x14ac:dyDescent="0.25">
      <c r="A91" s="9" t="str">
        <f>IF('Teams &amp; HM'!A138="","",'Teams &amp; HM'!A138)</f>
        <v/>
      </c>
      <c r="B91" s="72" t="str">
        <f>IF('Teams &amp; HM'!H143="","",'Teams &amp; HM'!H143)</f>
        <v/>
      </c>
      <c r="C91" s="72" t="str">
        <f>IF('Teams &amp; HM'!A143="","",'Teams &amp; HM'!A143)</f>
        <v/>
      </c>
      <c r="D91" s="72" t="str">
        <f>IF('Teams &amp; HM'!B143="","",'Teams &amp; HM'!B143)</f>
        <v/>
      </c>
      <c r="F91" s="7"/>
      <c r="G91" s="7"/>
      <c r="I91" s="64"/>
      <c r="J91" s="7"/>
      <c r="K91" s="7"/>
      <c r="L91" s="7"/>
      <c r="M91" s="72" t="str">
        <f t="shared" si="11"/>
        <v/>
      </c>
      <c r="O91" s="64"/>
      <c r="P91" s="7"/>
      <c r="Q91" s="7"/>
      <c r="R91" s="7"/>
      <c r="S91" s="72" t="str">
        <f t="shared" si="12"/>
        <v/>
      </c>
      <c r="U91" s="7"/>
      <c r="V91" s="73" t="str">
        <f t="shared" si="13"/>
        <v/>
      </c>
      <c r="W91" s="73" t="str">
        <f t="shared" si="14"/>
        <v/>
      </c>
      <c r="X91" s="74" t="str">
        <f t="shared" si="15"/>
        <v/>
      </c>
      <c r="Y91" s="110"/>
    </row>
    <row r="92" spans="1:25" s="54" customFormat="1" hidden="1" x14ac:dyDescent="0.25">
      <c r="A92" s="51" t="str">
        <f>IF('Teams &amp; HM'!A138="","",'Teams &amp; HM'!A138)</f>
        <v/>
      </c>
      <c r="B92" s="72" t="str">
        <f>IF('Teams &amp; HM'!H144="","",'Teams &amp; HM'!H144)</f>
        <v/>
      </c>
      <c r="C92" s="72" t="str">
        <f>IF('Teams &amp; HM'!A144="","",'Teams &amp; HM'!A144)</f>
        <v/>
      </c>
      <c r="D92" s="72" t="str">
        <f>IF('Teams &amp; HM'!B144="","",'Teams &amp; HM'!B144)</f>
        <v/>
      </c>
      <c r="E92" s="52"/>
      <c r="F92" s="53"/>
      <c r="G92" s="53"/>
      <c r="H92" s="52"/>
      <c r="I92" s="65"/>
      <c r="J92" s="53"/>
      <c r="K92" s="53"/>
      <c r="L92" s="53"/>
      <c r="M92" s="72" t="str">
        <f t="shared" si="11"/>
        <v/>
      </c>
      <c r="N92" s="52"/>
      <c r="O92" s="65"/>
      <c r="P92" s="53"/>
      <c r="Q92" s="53"/>
      <c r="R92" s="53"/>
      <c r="S92" s="72" t="str">
        <f t="shared" si="12"/>
        <v/>
      </c>
      <c r="U92" s="53"/>
      <c r="V92" s="73" t="str">
        <f t="shared" si="13"/>
        <v/>
      </c>
      <c r="W92" s="73" t="str">
        <f t="shared" si="14"/>
        <v/>
      </c>
      <c r="X92" s="74" t="str">
        <f t="shared" si="15"/>
        <v/>
      </c>
      <c r="Y92" s="75"/>
    </row>
    <row r="93" spans="1:25" x14ac:dyDescent="0.25">
      <c r="A93" s="9" t="str">
        <f>IF('Teams &amp; HM'!A146="","",'Teams &amp; HM'!A146)</f>
        <v/>
      </c>
      <c r="B93" s="72" t="str">
        <f>IF('Teams &amp; HM'!H148="","",'Teams &amp; HM'!H148)</f>
        <v/>
      </c>
      <c r="C93" s="72" t="str">
        <f>IF('Teams &amp; HM'!A148="","",'Teams &amp; HM'!A148)</f>
        <v/>
      </c>
      <c r="D93" s="72" t="str">
        <f>IF('Teams &amp; HM'!B148="","",'Teams &amp; HM'!B148)</f>
        <v/>
      </c>
      <c r="F93" s="7"/>
      <c r="G93" s="7"/>
      <c r="I93" s="64"/>
      <c r="J93" s="7"/>
      <c r="K93" s="7"/>
      <c r="L93" s="7"/>
      <c r="M93" s="72" t="str">
        <f t="shared" si="11"/>
        <v/>
      </c>
      <c r="O93" s="64"/>
      <c r="P93" s="7"/>
      <c r="Q93" s="7"/>
      <c r="R93" s="7"/>
      <c r="S93" s="72" t="str">
        <f t="shared" si="12"/>
        <v/>
      </c>
      <c r="U93" s="7"/>
      <c r="V93" s="73" t="str">
        <f t="shared" si="13"/>
        <v/>
      </c>
      <c r="W93" s="73" t="str">
        <f t="shared" si="14"/>
        <v/>
      </c>
      <c r="X93" s="74" t="str">
        <f t="shared" si="15"/>
        <v/>
      </c>
      <c r="Y93" s="108" t="str">
        <f>IF(X93="","",IF(COUNT(X93:X96)=4,(SUM(X93:X96)-MIN(X93:X96)),SUM(X93:X95)))</f>
        <v/>
      </c>
    </row>
    <row r="94" spans="1:25" x14ac:dyDescent="0.25">
      <c r="A94" s="9" t="str">
        <f>IF('Teams &amp; HM'!A146="","",'Teams &amp; HM'!A146)</f>
        <v/>
      </c>
      <c r="B94" s="72" t="str">
        <f>IF('Teams &amp; HM'!H149="","",'Teams &amp; HM'!H149)</f>
        <v/>
      </c>
      <c r="C94" s="72" t="str">
        <f>IF('Teams &amp; HM'!A149="","",'Teams &amp; HM'!A149)</f>
        <v/>
      </c>
      <c r="D94" s="72" t="str">
        <f>IF('Teams &amp; HM'!B149="","",'Teams &amp; HM'!B149)</f>
        <v/>
      </c>
      <c r="F94" s="7"/>
      <c r="G94" s="7"/>
      <c r="I94" s="64"/>
      <c r="J94" s="7"/>
      <c r="K94" s="7"/>
      <c r="L94" s="7"/>
      <c r="M94" s="72" t="str">
        <f t="shared" si="11"/>
        <v/>
      </c>
      <c r="O94" s="64"/>
      <c r="P94" s="7"/>
      <c r="Q94" s="7"/>
      <c r="R94" s="7"/>
      <c r="S94" s="72" t="str">
        <f t="shared" si="12"/>
        <v/>
      </c>
      <c r="U94" s="7"/>
      <c r="V94" s="73" t="str">
        <f t="shared" si="13"/>
        <v/>
      </c>
      <c r="W94" s="73" t="str">
        <f t="shared" si="14"/>
        <v/>
      </c>
      <c r="X94" s="74" t="str">
        <f t="shared" si="15"/>
        <v/>
      </c>
      <c r="Y94" s="109"/>
    </row>
    <row r="95" spans="1:25" x14ac:dyDescent="0.25">
      <c r="A95" s="9" t="str">
        <f>IF('Teams &amp; HM'!A146="","",'Teams &amp; HM'!A146)</f>
        <v/>
      </c>
      <c r="B95" s="72" t="str">
        <f>IF('Teams &amp; HM'!H150="","",'Teams &amp; HM'!H150)</f>
        <v/>
      </c>
      <c r="C95" s="72" t="str">
        <f>IF('Teams &amp; HM'!A150="","",'Teams &amp; HM'!A150)</f>
        <v/>
      </c>
      <c r="D95" s="72" t="str">
        <f>IF('Teams &amp; HM'!B150="","",'Teams &amp; HM'!B150)</f>
        <v/>
      </c>
      <c r="F95" s="7"/>
      <c r="G95" s="7"/>
      <c r="I95" s="64"/>
      <c r="J95" s="7"/>
      <c r="K95" s="7"/>
      <c r="L95" s="7"/>
      <c r="M95" s="72" t="str">
        <f t="shared" si="11"/>
        <v/>
      </c>
      <c r="O95" s="64"/>
      <c r="P95" s="7"/>
      <c r="Q95" s="7"/>
      <c r="R95" s="7"/>
      <c r="S95" s="72" t="str">
        <f t="shared" si="12"/>
        <v/>
      </c>
      <c r="U95" s="7"/>
      <c r="V95" s="73" t="str">
        <f t="shared" si="13"/>
        <v/>
      </c>
      <c r="W95" s="73" t="str">
        <f t="shared" si="14"/>
        <v/>
      </c>
      <c r="X95" s="74" t="str">
        <f t="shared" si="15"/>
        <v/>
      </c>
      <c r="Y95" s="109"/>
    </row>
    <row r="96" spans="1:25" x14ac:dyDescent="0.25">
      <c r="A96" s="9" t="str">
        <f>IF('Teams &amp; HM'!A146="","",'Teams &amp; HM'!A146)</f>
        <v/>
      </c>
      <c r="B96" s="72" t="str">
        <f>IF('Teams &amp; HM'!H151="","",'Teams &amp; HM'!H151)</f>
        <v/>
      </c>
      <c r="C96" s="72" t="str">
        <f>IF('Teams &amp; HM'!A151="","",'Teams &amp; HM'!A151)</f>
        <v/>
      </c>
      <c r="D96" s="72" t="str">
        <f>IF('Teams &amp; HM'!B151="","",'Teams &amp; HM'!B151)</f>
        <v/>
      </c>
      <c r="F96" s="7"/>
      <c r="G96" s="7"/>
      <c r="I96" s="64"/>
      <c r="J96" s="7"/>
      <c r="K96" s="7"/>
      <c r="L96" s="7"/>
      <c r="M96" s="72" t="str">
        <f t="shared" si="11"/>
        <v/>
      </c>
      <c r="O96" s="64"/>
      <c r="P96" s="7"/>
      <c r="Q96" s="7"/>
      <c r="R96" s="7"/>
      <c r="S96" s="72" t="str">
        <f t="shared" si="12"/>
        <v/>
      </c>
      <c r="U96" s="7"/>
      <c r="V96" s="73" t="str">
        <f t="shared" si="13"/>
        <v/>
      </c>
      <c r="W96" s="73" t="str">
        <f t="shared" si="14"/>
        <v/>
      </c>
      <c r="X96" s="74" t="str">
        <f t="shared" si="15"/>
        <v/>
      </c>
      <c r="Y96" s="110"/>
    </row>
    <row r="97" spans="1:25" s="54" customFormat="1" hidden="1" x14ac:dyDescent="0.25">
      <c r="A97" s="51" t="str">
        <f>IF('Teams &amp; HM'!A146="","",'Teams &amp; HM'!A146)</f>
        <v/>
      </c>
      <c r="B97" s="72" t="str">
        <f>IF('Teams &amp; HM'!H152="","",'Teams &amp; HM'!H152)</f>
        <v/>
      </c>
      <c r="C97" s="72" t="str">
        <f>IF('Teams &amp; HM'!A152="","",'Teams &amp; HM'!A152)</f>
        <v/>
      </c>
      <c r="D97" s="72" t="str">
        <f>IF('Teams &amp; HM'!B152="","",'Teams &amp; HM'!B152)</f>
        <v/>
      </c>
      <c r="E97" s="52"/>
      <c r="F97" s="53"/>
      <c r="G97" s="53"/>
      <c r="H97" s="52"/>
      <c r="I97" s="65"/>
      <c r="J97" s="53"/>
      <c r="K97" s="53"/>
      <c r="L97" s="53"/>
      <c r="M97" s="72" t="str">
        <f t="shared" si="11"/>
        <v/>
      </c>
      <c r="N97" s="52"/>
      <c r="O97" s="65"/>
      <c r="P97" s="53"/>
      <c r="Q97" s="53"/>
      <c r="R97" s="53"/>
      <c r="S97" s="72" t="str">
        <f t="shared" si="12"/>
        <v/>
      </c>
      <c r="U97" s="53"/>
      <c r="V97" s="73" t="str">
        <f t="shared" si="13"/>
        <v/>
      </c>
      <c r="W97" s="73" t="str">
        <f t="shared" si="14"/>
        <v/>
      </c>
      <c r="X97" s="74" t="str">
        <f t="shared" si="15"/>
        <v/>
      </c>
      <c r="Y97" s="75"/>
    </row>
    <row r="98" spans="1:25" x14ac:dyDescent="0.25">
      <c r="A98" s="9" t="str">
        <f>IF('Teams &amp; HM'!A154="","",'Teams &amp; HM'!A154)</f>
        <v/>
      </c>
      <c r="B98" s="72" t="str">
        <f>IF('Teams &amp; HM'!H156="","",'Teams &amp; HM'!H156)</f>
        <v/>
      </c>
      <c r="C98" s="72" t="str">
        <f>IF('Teams &amp; HM'!A156="","",'Teams &amp; HM'!A156)</f>
        <v/>
      </c>
      <c r="D98" s="72" t="str">
        <f>IF('Teams &amp; HM'!B156="","",'Teams &amp; HM'!B156)</f>
        <v/>
      </c>
      <c r="F98" s="7"/>
      <c r="G98" s="7"/>
      <c r="I98" s="64"/>
      <c r="J98" s="7"/>
      <c r="K98" s="7"/>
      <c r="L98" s="7"/>
      <c r="M98" s="72" t="str">
        <f t="shared" si="11"/>
        <v/>
      </c>
      <c r="O98" s="64"/>
      <c r="P98" s="7"/>
      <c r="Q98" s="7"/>
      <c r="R98" s="7"/>
      <c r="S98" s="72" t="str">
        <f t="shared" si="12"/>
        <v/>
      </c>
      <c r="U98" s="7"/>
      <c r="V98" s="73" t="str">
        <f t="shared" si="13"/>
        <v/>
      </c>
      <c r="W98" s="73" t="str">
        <f t="shared" si="14"/>
        <v/>
      </c>
      <c r="X98" s="74" t="str">
        <f t="shared" si="15"/>
        <v/>
      </c>
      <c r="Y98" s="108" t="str">
        <f>IF(X98="","",IF(COUNT(X98:X101)=4,(SUM(X98:X101)-MIN(X98:X101)),SUM(X98:X100)))</f>
        <v/>
      </c>
    </row>
    <row r="99" spans="1:25" x14ac:dyDescent="0.25">
      <c r="A99" s="9" t="str">
        <f>IF('Teams &amp; HM'!A154="","",'Teams &amp; HM'!A154)</f>
        <v/>
      </c>
      <c r="B99" s="72" t="str">
        <f>IF('Teams &amp; HM'!H157="","",'Teams &amp; HM'!H157)</f>
        <v/>
      </c>
      <c r="C99" s="72" t="str">
        <f>IF('Teams &amp; HM'!A157="","",'Teams &amp; HM'!A157)</f>
        <v/>
      </c>
      <c r="D99" s="72" t="str">
        <f>IF('Teams &amp; HM'!B157="","",'Teams &amp; HM'!B157)</f>
        <v/>
      </c>
      <c r="F99" s="7"/>
      <c r="G99" s="7"/>
      <c r="I99" s="64"/>
      <c r="J99" s="7"/>
      <c r="K99" s="7"/>
      <c r="L99" s="7"/>
      <c r="M99" s="72" t="str">
        <f t="shared" si="11"/>
        <v/>
      </c>
      <c r="O99" s="64"/>
      <c r="P99" s="7"/>
      <c r="Q99" s="7"/>
      <c r="R99" s="7"/>
      <c r="S99" s="72" t="str">
        <f t="shared" si="12"/>
        <v/>
      </c>
      <c r="U99" s="7"/>
      <c r="V99" s="73" t="str">
        <f t="shared" si="13"/>
        <v/>
      </c>
      <c r="W99" s="73" t="str">
        <f t="shared" si="14"/>
        <v/>
      </c>
      <c r="X99" s="74" t="str">
        <f t="shared" si="15"/>
        <v/>
      </c>
      <c r="Y99" s="109"/>
    </row>
    <row r="100" spans="1:25" x14ac:dyDescent="0.25">
      <c r="A100" s="9" t="str">
        <f>IF('Teams &amp; HM'!A154="","",'Teams &amp; HM'!A154)</f>
        <v/>
      </c>
      <c r="B100" s="72" t="str">
        <f>IF('Teams &amp; HM'!H158="","",'Teams &amp; HM'!H158)</f>
        <v/>
      </c>
      <c r="C100" s="72" t="str">
        <f>IF('Teams &amp; HM'!A158="","",'Teams &amp; HM'!A158)</f>
        <v/>
      </c>
      <c r="D100" s="72" t="str">
        <f>IF('Teams &amp; HM'!B158="","",'Teams &amp; HM'!B158)</f>
        <v/>
      </c>
      <c r="F100" s="7"/>
      <c r="G100" s="7"/>
      <c r="I100" s="64"/>
      <c r="J100" s="7"/>
      <c r="K100" s="7"/>
      <c r="L100" s="7"/>
      <c r="M100" s="72" t="str">
        <f t="shared" si="11"/>
        <v/>
      </c>
      <c r="O100" s="64"/>
      <c r="P100" s="7"/>
      <c r="Q100" s="7"/>
      <c r="R100" s="7"/>
      <c r="S100" s="72" t="str">
        <f t="shared" si="12"/>
        <v/>
      </c>
      <c r="U100" s="7"/>
      <c r="V100" s="73" t="str">
        <f t="shared" si="13"/>
        <v/>
      </c>
      <c r="W100" s="73" t="str">
        <f t="shared" si="14"/>
        <v/>
      </c>
      <c r="X100" s="74" t="str">
        <f t="shared" si="15"/>
        <v/>
      </c>
      <c r="Y100" s="109"/>
    </row>
    <row r="101" spans="1:25" x14ac:dyDescent="0.25">
      <c r="A101" s="9" t="str">
        <f>IF('Teams &amp; HM'!A154="","",'Teams &amp; HM'!A154)</f>
        <v/>
      </c>
      <c r="B101" s="72" t="str">
        <f>IF('Teams &amp; HM'!H159="","",'Teams &amp; HM'!H159)</f>
        <v/>
      </c>
      <c r="C101" s="72" t="str">
        <f>IF('Teams &amp; HM'!A159="","",'Teams &amp; HM'!A159)</f>
        <v/>
      </c>
      <c r="D101" s="72" t="str">
        <f>IF('Teams &amp; HM'!B159="","",'Teams &amp; HM'!B159)</f>
        <v/>
      </c>
      <c r="F101" s="7"/>
      <c r="G101" s="7"/>
      <c r="I101" s="64"/>
      <c r="J101" s="7"/>
      <c r="K101" s="7"/>
      <c r="L101" s="7"/>
      <c r="M101" s="72" t="str">
        <f t="shared" si="11"/>
        <v/>
      </c>
      <c r="O101" s="64"/>
      <c r="P101" s="7"/>
      <c r="Q101" s="7"/>
      <c r="R101" s="7"/>
      <c r="S101" s="72" t="str">
        <f t="shared" si="12"/>
        <v/>
      </c>
      <c r="U101" s="7"/>
      <c r="V101" s="73" t="str">
        <f t="shared" si="13"/>
        <v/>
      </c>
      <c r="W101" s="73" t="str">
        <f t="shared" si="14"/>
        <v/>
      </c>
      <c r="X101" s="74" t="str">
        <f t="shared" si="15"/>
        <v/>
      </c>
      <c r="Y101" s="110"/>
    </row>
    <row r="102" spans="1:25" s="54" customFormat="1" hidden="1" x14ac:dyDescent="0.25">
      <c r="A102" s="51" t="str">
        <f>IF('Teams &amp; HM'!A154="","",'Teams &amp; HM'!A154)</f>
        <v/>
      </c>
      <c r="B102" s="51" t="str">
        <f>IF('Teams &amp; HM'!H160="","",'Teams &amp; HM'!H160)</f>
        <v/>
      </c>
      <c r="C102" s="51" t="str">
        <f>IF('Teams &amp; HM'!A160="","",'Teams &amp; HM'!A160)</f>
        <v/>
      </c>
      <c r="D102" s="51" t="str">
        <f>IF('Teams &amp; HM'!B160="","",'Teams &amp; HM'!B160)</f>
        <v/>
      </c>
      <c r="E102" s="52"/>
      <c r="F102" s="53"/>
      <c r="G102" s="53"/>
      <c r="H102" s="52"/>
      <c r="I102" s="53"/>
      <c r="J102" s="53"/>
      <c r="K102" s="53"/>
      <c r="L102" s="53"/>
      <c r="M102" s="51" t="str">
        <f t="shared" si="11"/>
        <v/>
      </c>
      <c r="N102" s="52"/>
      <c r="O102" s="53"/>
      <c r="P102" s="53"/>
      <c r="Q102" s="53"/>
      <c r="R102" s="53"/>
      <c r="S102" s="51" t="str">
        <f t="shared" si="12"/>
        <v/>
      </c>
      <c r="U102" s="51"/>
      <c r="V102" s="55" t="str">
        <f t="shared" si="13"/>
        <v/>
      </c>
      <c r="W102" s="55" t="str">
        <f t="shared" si="14"/>
        <v/>
      </c>
      <c r="X102" s="55" t="str">
        <f t="shared" si="15"/>
        <v/>
      </c>
    </row>
    <row r="103" spans="1:25" x14ac:dyDescent="0.25">
      <c r="S103" s="6"/>
      <c r="T103" s="13"/>
      <c r="W103" s="6"/>
    </row>
  </sheetData>
  <sheetProtection algorithmName="SHA-512" hashValue="0TDIdfSEKSYOQSsq+CEWX01QDof41JxKjY0hQwpM0W2uJJU3bzVv+A1ve3VoBN7Js18ebNj0YNzpxC7pZS0EyA==" saltValue="1Swyk5i/GTf5Ynzf2Fxvlg==" spinCount="100000" sheet="1" objects="1" scenarios="1"/>
  <mergeCells count="25">
    <mergeCell ref="I1:M1"/>
    <mergeCell ref="O1:S1"/>
    <mergeCell ref="A1:D1"/>
    <mergeCell ref="G1:G2"/>
    <mergeCell ref="Y3:Y6"/>
    <mergeCell ref="U1:Y1"/>
    <mergeCell ref="Y8:Y11"/>
    <mergeCell ref="Y13:Y16"/>
    <mergeCell ref="Y18:Y21"/>
    <mergeCell ref="Y23:Y26"/>
    <mergeCell ref="Y28:Y31"/>
    <mergeCell ref="Y33:Y36"/>
    <mergeCell ref="Y38:Y41"/>
    <mergeCell ref="Y43:Y46"/>
    <mergeCell ref="Y48:Y51"/>
    <mergeCell ref="Y53:Y56"/>
    <mergeCell ref="Y58:Y61"/>
    <mergeCell ref="Y63:Y66"/>
    <mergeCell ref="Y68:Y71"/>
    <mergeCell ref="Y98:Y101"/>
    <mergeCell ref="Y73:Y76"/>
    <mergeCell ref="Y78:Y81"/>
    <mergeCell ref="Y83:Y86"/>
    <mergeCell ref="Y88:Y91"/>
    <mergeCell ref="Y93:Y96"/>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580AF402-8DE6-4207-B74C-771DB5552862}">
          <x14:formula1>
            <xm:f>'Instructions &amp; Reference'!$K$201:$K$202</xm:f>
          </x14:formula1>
          <xm:sqref>F3:F102</xm:sqref>
        </x14:dataValidation>
        <x14:dataValidation type="list" allowBlank="1" showInputMessage="1" showErrorMessage="1" xr:uid="{16FF41A6-E20A-4B48-B20F-EE45F0E49F81}">
          <x14:formula1>
            <xm:f>'Instructions &amp; Reference'!$C$6:$C$17</xm:f>
          </x14:formula1>
          <xm:sqref>G3:G102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M102"/>
  <sheetViews>
    <sheetView zoomScale="90" zoomScaleNormal="90" workbookViewId="0">
      <pane ySplit="2" topLeftCell="A3" activePane="bottomLeft" state="frozen"/>
      <selection pane="bottomLeft" activeCell="K11" sqref="K11"/>
    </sheetView>
  </sheetViews>
  <sheetFormatPr defaultRowHeight="15" x14ac:dyDescent="0.25"/>
  <cols>
    <col min="1" max="1" width="9.140625" style="11"/>
    <col min="2" max="2" width="20" style="11" bestFit="1" customWidth="1"/>
    <col min="3" max="3" width="4.85546875" style="11" customWidth="1"/>
    <col min="4" max="4" width="20.85546875" style="11" customWidth="1"/>
    <col min="5" max="5" width="2.5703125" style="11" customWidth="1"/>
    <col min="6" max="6" width="15.42578125" style="11" bestFit="1" customWidth="1"/>
    <col min="7" max="7" width="20" style="11" customWidth="1"/>
    <col min="8" max="8" width="11.85546875" style="15" customWidth="1"/>
    <col min="9" max="9" width="12.7109375" style="11" bestFit="1" customWidth="1"/>
    <col min="10" max="10" width="9.140625" style="11"/>
    <col min="11" max="11" width="21.5703125" style="11" customWidth="1"/>
    <col min="12" max="12" width="10.5703125" style="6" bestFit="1" customWidth="1"/>
    <col min="13" max="16384" width="9.140625" style="6"/>
  </cols>
  <sheetData>
    <row r="1" spans="1:13" ht="25.5" customHeight="1" x14ac:dyDescent="0.25">
      <c r="A1" s="112" t="str">
        <f>IF('Teams &amp; HM'!A1="","",'Teams &amp; HM'!A1)</f>
        <v/>
      </c>
      <c r="B1" s="113"/>
      <c r="C1" s="113"/>
      <c r="D1" s="114"/>
      <c r="E1" s="23"/>
      <c r="F1" s="111" t="s">
        <v>92</v>
      </c>
      <c r="G1" s="111"/>
      <c r="H1" s="111"/>
      <c r="I1" s="111"/>
      <c r="J1" s="111"/>
      <c r="K1" s="111"/>
      <c r="L1" s="111"/>
      <c r="M1" s="111"/>
    </row>
    <row r="2" spans="1:13" ht="30" x14ac:dyDescent="0.25">
      <c r="A2" s="69" t="s">
        <v>80</v>
      </c>
      <c r="B2" s="69" t="s">
        <v>61</v>
      </c>
      <c r="C2" s="69" t="s">
        <v>55</v>
      </c>
      <c r="D2" s="69" t="s">
        <v>81</v>
      </c>
      <c r="E2" s="26"/>
      <c r="F2" s="69" t="s">
        <v>93</v>
      </c>
      <c r="G2" s="69" t="s">
        <v>94</v>
      </c>
      <c r="H2" s="40" t="s">
        <v>83</v>
      </c>
      <c r="I2" s="69" t="s">
        <v>95</v>
      </c>
      <c r="J2" s="69" t="s">
        <v>96</v>
      </c>
      <c r="K2" s="41" t="s">
        <v>89</v>
      </c>
      <c r="L2" s="41" t="s">
        <v>97</v>
      </c>
      <c r="M2" s="41" t="s">
        <v>91</v>
      </c>
    </row>
    <row r="3" spans="1:13" x14ac:dyDescent="0.25">
      <c r="A3" s="72" t="str">
        <f>IF('Teams &amp; HM'!A2="","",'Teams &amp; HM'!A2)</f>
        <v/>
      </c>
      <c r="B3" s="72" t="str">
        <f>IF('Teams &amp; HM'!H4="","",'Teams &amp; HM'!H4)</f>
        <v/>
      </c>
      <c r="C3" s="72" t="str">
        <f>IF('Teams &amp; HM'!A4="","",'Teams &amp; HM'!A4)</f>
        <v/>
      </c>
      <c r="D3" s="72" t="str">
        <f>IF('Teams &amp; HM'!B4="","",'Teams &amp; HM'!B4)</f>
        <v/>
      </c>
      <c r="F3" s="7"/>
      <c r="G3" s="7"/>
      <c r="H3" s="66"/>
      <c r="I3" s="7"/>
      <c r="J3" s="7"/>
      <c r="K3" s="7"/>
      <c r="L3" s="76" t="str">
        <f>IF(J3="","",(J3-K3))</f>
        <v/>
      </c>
      <c r="M3" s="108" t="str">
        <f>IF(L3="","",IF(COUNT(L3:L6)=4,(SUM(L3:L6)-MIN(L3:L6)),SUM(L3:L5)))</f>
        <v/>
      </c>
    </row>
    <row r="4" spans="1:13" x14ac:dyDescent="0.25">
      <c r="A4" s="72" t="str">
        <f>IF('Teams &amp; HM'!A2="","",'Teams &amp; HM'!A2)</f>
        <v/>
      </c>
      <c r="B4" s="72" t="str">
        <f>IF('Teams &amp; HM'!H5="","",'Teams &amp; HM'!H5)</f>
        <v/>
      </c>
      <c r="C4" s="72" t="str">
        <f>IF('Teams &amp; HM'!A5="","",'Teams &amp; HM'!A5)</f>
        <v/>
      </c>
      <c r="D4" s="72" t="str">
        <f>IF('Teams &amp; HM'!B5="","",'Teams &amp; HM'!B5)</f>
        <v/>
      </c>
      <c r="F4" s="7"/>
      <c r="G4" s="7"/>
      <c r="H4" s="66"/>
      <c r="I4" s="7"/>
      <c r="J4" s="7"/>
      <c r="K4" s="7"/>
      <c r="L4" s="76" t="str">
        <f t="shared" ref="L4:L67" si="0">IF(J4="","",(J4-K4))</f>
        <v/>
      </c>
      <c r="M4" s="109"/>
    </row>
    <row r="5" spans="1:13" x14ac:dyDescent="0.25">
      <c r="A5" s="72" t="str">
        <f>IF('Teams &amp; HM'!A2="","",'Teams &amp; HM'!A2)</f>
        <v/>
      </c>
      <c r="B5" s="72" t="str">
        <f>IF('Teams &amp; HM'!H6="","",'Teams &amp; HM'!H6)</f>
        <v/>
      </c>
      <c r="C5" s="72" t="str">
        <f>IF('Teams &amp; HM'!A6="","",'Teams &amp; HM'!A6)</f>
        <v/>
      </c>
      <c r="D5" s="72" t="str">
        <f>IF('Teams &amp; HM'!B6="","",'Teams &amp; HM'!B6)</f>
        <v/>
      </c>
      <c r="F5" s="7"/>
      <c r="G5" s="7"/>
      <c r="H5" s="66"/>
      <c r="I5" s="7"/>
      <c r="J5" s="7"/>
      <c r="K5" s="7"/>
      <c r="L5" s="76" t="str">
        <f t="shared" si="0"/>
        <v/>
      </c>
      <c r="M5" s="109"/>
    </row>
    <row r="6" spans="1:13" x14ac:dyDescent="0.25">
      <c r="A6" s="72" t="str">
        <f>IF('Teams &amp; HM'!A2="","",'Teams &amp; HM'!A2)</f>
        <v/>
      </c>
      <c r="B6" s="72" t="str">
        <f>IF('Teams &amp; HM'!H7="","",'Teams &amp; HM'!H7)</f>
        <v/>
      </c>
      <c r="C6" s="72" t="str">
        <f>IF('Teams &amp; HM'!A7="","",'Teams &amp; HM'!A7)</f>
        <v/>
      </c>
      <c r="D6" s="72" t="str">
        <f>IF('Teams &amp; HM'!B7="","",'Teams &amp; HM'!B7)</f>
        <v/>
      </c>
      <c r="F6" s="7"/>
      <c r="G6" s="7"/>
      <c r="H6" s="66"/>
      <c r="I6" s="7"/>
      <c r="J6" s="7"/>
      <c r="K6" s="7"/>
      <c r="L6" s="76" t="str">
        <f t="shared" si="0"/>
        <v/>
      </c>
      <c r="M6" s="110"/>
    </row>
    <row r="7" spans="1:13" hidden="1" x14ac:dyDescent="0.25">
      <c r="A7" s="72" t="str">
        <f>IF('Teams &amp; HM'!A2="","",'Teams &amp; HM'!A2)</f>
        <v/>
      </c>
      <c r="B7" s="72" t="str">
        <f>IF('Teams &amp; HM'!H8="","",'Teams &amp; HM'!H8)</f>
        <v/>
      </c>
      <c r="C7" s="72" t="str">
        <f>IF('Teams &amp; HM'!A8="","",'Teams &amp; HM'!A8)</f>
        <v/>
      </c>
      <c r="D7" s="72" t="str">
        <f>IF('Teams &amp; HM'!B8="","",'Teams &amp; HM'!B8)</f>
        <v/>
      </c>
      <c r="F7" s="7"/>
      <c r="G7" s="7"/>
      <c r="H7" s="66"/>
      <c r="I7" s="7"/>
      <c r="J7" s="7"/>
      <c r="K7" s="7"/>
      <c r="L7" s="76" t="str">
        <f t="shared" si="0"/>
        <v/>
      </c>
      <c r="M7" s="75"/>
    </row>
    <row r="8" spans="1:13" x14ac:dyDescent="0.25">
      <c r="A8" s="72" t="str">
        <f>IF('Teams &amp; HM'!A10="","",'Teams &amp; HM'!A10)</f>
        <v/>
      </c>
      <c r="B8" s="72" t="str">
        <f>IF('Teams &amp; HM'!H12="","",'Teams &amp; HM'!H12)</f>
        <v/>
      </c>
      <c r="C8" s="72" t="str">
        <f>IF('Teams &amp; HM'!A12="","",'Teams &amp; HM'!A12)</f>
        <v/>
      </c>
      <c r="D8" s="72" t="str">
        <f>IF('Teams &amp; HM'!B12="","",'Teams &amp; HM'!B12)</f>
        <v/>
      </c>
      <c r="F8" s="7"/>
      <c r="G8" s="7"/>
      <c r="H8" s="66"/>
      <c r="I8" s="7"/>
      <c r="J8" s="67"/>
      <c r="K8" s="7"/>
      <c r="L8" s="76" t="str">
        <f t="shared" si="0"/>
        <v/>
      </c>
      <c r="M8" s="108" t="str">
        <f>IF(L8="","",IF(COUNT(L8:L11)=4,(SUM(L8:L11)-MIN(L8:L11)),SUM(L8:L10)))</f>
        <v/>
      </c>
    </row>
    <row r="9" spans="1:13" x14ac:dyDescent="0.25">
      <c r="A9" s="72" t="str">
        <f>IF('Teams &amp; HM'!A10="","",'Teams &amp; HM'!A10)</f>
        <v/>
      </c>
      <c r="B9" s="72" t="str">
        <f>IF('Teams &amp; HM'!H13="","",'Teams &amp; HM'!H13)</f>
        <v/>
      </c>
      <c r="C9" s="72" t="str">
        <f>IF('Teams &amp; HM'!A13="","",'Teams &amp; HM'!A13)</f>
        <v/>
      </c>
      <c r="D9" s="72" t="str">
        <f>IF('Teams &amp; HM'!B13="","",'Teams &amp; HM'!B13)</f>
        <v/>
      </c>
      <c r="F9" s="7"/>
      <c r="G9" s="7"/>
      <c r="H9" s="66"/>
      <c r="I9" s="7"/>
      <c r="J9" s="7"/>
      <c r="K9" s="7"/>
      <c r="L9" s="76" t="str">
        <f t="shared" si="0"/>
        <v/>
      </c>
      <c r="M9" s="109"/>
    </row>
    <row r="10" spans="1:13" x14ac:dyDescent="0.25">
      <c r="A10" s="72" t="str">
        <f>IF('Teams &amp; HM'!A10="","",'Teams &amp; HM'!A10)</f>
        <v/>
      </c>
      <c r="B10" s="72" t="str">
        <f>IF('Teams &amp; HM'!H14="","",'Teams &amp; HM'!H14)</f>
        <v/>
      </c>
      <c r="C10" s="72" t="str">
        <f>IF('Teams &amp; HM'!A14="","",'Teams &amp; HM'!A14)</f>
        <v/>
      </c>
      <c r="D10" s="72" t="str">
        <f>IF('Teams &amp; HM'!B14="","",'Teams &amp; HM'!B14)</f>
        <v/>
      </c>
      <c r="F10" s="7"/>
      <c r="G10" s="7"/>
      <c r="H10" s="66"/>
      <c r="I10" s="7"/>
      <c r="J10" s="7"/>
      <c r="K10" s="7"/>
      <c r="L10" s="76" t="str">
        <f t="shared" si="0"/>
        <v/>
      </c>
      <c r="M10" s="109"/>
    </row>
    <row r="11" spans="1:13" x14ac:dyDescent="0.25">
      <c r="A11" s="72" t="str">
        <f>IF('Teams &amp; HM'!A10="","",'Teams &amp; HM'!A10)</f>
        <v/>
      </c>
      <c r="B11" s="72" t="str">
        <f>IF('Teams &amp; HM'!H15="","",'Teams &amp; HM'!H15)</f>
        <v/>
      </c>
      <c r="C11" s="72" t="str">
        <f>IF('Teams &amp; HM'!A15="","",'Teams &amp; HM'!A15)</f>
        <v/>
      </c>
      <c r="D11" s="72" t="str">
        <f>IF('Teams &amp; HM'!B15="","",'Teams &amp; HM'!B15)</f>
        <v/>
      </c>
      <c r="F11" s="7"/>
      <c r="G11" s="7"/>
      <c r="H11" s="66"/>
      <c r="I11" s="7"/>
      <c r="J11" s="7"/>
      <c r="K11" s="7"/>
      <c r="L11" s="76" t="str">
        <f t="shared" si="0"/>
        <v/>
      </c>
      <c r="M11" s="110"/>
    </row>
    <row r="12" spans="1:13" hidden="1" x14ac:dyDescent="0.25">
      <c r="A12" s="72" t="str">
        <f>IF('Teams &amp; HM'!A10="","",'Teams &amp; HM'!A10)</f>
        <v/>
      </c>
      <c r="B12" s="72" t="str">
        <f>IF('Teams &amp; HM'!H16="","",'Teams &amp; HM'!H16)</f>
        <v/>
      </c>
      <c r="C12" s="72" t="str">
        <f>IF('Teams &amp; HM'!A16="","",'Teams &amp; HM'!A16)</f>
        <v/>
      </c>
      <c r="D12" s="72" t="str">
        <f>IF('Teams &amp; HM'!B16="","",'Teams &amp; HM'!B16)</f>
        <v/>
      </c>
      <c r="F12" s="7"/>
      <c r="G12" s="7"/>
      <c r="H12" s="66"/>
      <c r="I12" s="7"/>
      <c r="J12" s="7"/>
      <c r="K12" s="7"/>
      <c r="L12" s="76" t="str">
        <f t="shared" si="0"/>
        <v/>
      </c>
      <c r="M12" s="75"/>
    </row>
    <row r="13" spans="1:13" x14ac:dyDescent="0.25">
      <c r="A13" s="72" t="str">
        <f>IF('Teams &amp; HM'!A18="","",'Teams &amp; HM'!A18)</f>
        <v/>
      </c>
      <c r="B13" s="72" t="str">
        <f>IF('Teams &amp; HM'!H20="","",'Teams &amp; HM'!H20)</f>
        <v/>
      </c>
      <c r="C13" s="72" t="str">
        <f>IF('Teams &amp; HM'!A20="","",'Teams &amp; HM'!A20)</f>
        <v/>
      </c>
      <c r="D13" s="72" t="str">
        <f>IF('Teams &amp; HM'!B20="","",'Teams &amp; HM'!B20)</f>
        <v/>
      </c>
      <c r="F13" s="7"/>
      <c r="G13" s="7"/>
      <c r="H13" s="66"/>
      <c r="I13" s="7"/>
      <c r="J13" s="7"/>
      <c r="K13" s="7"/>
      <c r="L13" s="76" t="str">
        <f t="shared" si="0"/>
        <v/>
      </c>
      <c r="M13" s="108" t="str">
        <f>IF(L13="","",IF(COUNT(L13:L16)=4,(SUM(L13:L16)-MIN(L13:L16)),SUM(L13:L15)))</f>
        <v/>
      </c>
    </row>
    <row r="14" spans="1:13" x14ac:dyDescent="0.25">
      <c r="A14" s="72" t="str">
        <f>IF('Teams &amp; HM'!A18="","",'Teams &amp; HM'!A18)</f>
        <v/>
      </c>
      <c r="B14" s="72" t="str">
        <f>IF('Teams &amp; HM'!H21="","",'Teams &amp; HM'!H21)</f>
        <v/>
      </c>
      <c r="C14" s="72" t="str">
        <f>IF('Teams &amp; HM'!A21="","",'Teams &amp; HM'!A21)</f>
        <v/>
      </c>
      <c r="D14" s="72" t="str">
        <f>IF('Teams &amp; HM'!B21="","",'Teams &amp; HM'!B21)</f>
        <v/>
      </c>
      <c r="F14" s="7"/>
      <c r="G14" s="7"/>
      <c r="H14" s="66"/>
      <c r="I14" s="7"/>
      <c r="J14" s="7"/>
      <c r="K14" s="7"/>
      <c r="L14" s="76" t="str">
        <f t="shared" si="0"/>
        <v/>
      </c>
      <c r="M14" s="109"/>
    </row>
    <row r="15" spans="1:13" x14ac:dyDescent="0.25">
      <c r="A15" s="72" t="str">
        <f>IF('Teams &amp; HM'!A18="","",'Teams &amp; HM'!A18)</f>
        <v/>
      </c>
      <c r="B15" s="72" t="str">
        <f>IF('Teams &amp; HM'!H22="","",'Teams &amp; HM'!H22)</f>
        <v/>
      </c>
      <c r="C15" s="72" t="str">
        <f>IF('Teams &amp; HM'!A22="","",'Teams &amp; HM'!A22)</f>
        <v/>
      </c>
      <c r="D15" s="72" t="str">
        <f>IF('Teams &amp; HM'!B22="","",'Teams &amp; HM'!B22)</f>
        <v/>
      </c>
      <c r="F15" s="7"/>
      <c r="G15" s="7"/>
      <c r="H15" s="66"/>
      <c r="I15" s="7"/>
      <c r="J15" s="7"/>
      <c r="K15" s="7"/>
      <c r="L15" s="76" t="str">
        <f t="shared" si="0"/>
        <v/>
      </c>
      <c r="M15" s="109"/>
    </row>
    <row r="16" spans="1:13" x14ac:dyDescent="0.25">
      <c r="A16" s="72" t="str">
        <f>IF('Teams &amp; HM'!A18="","",'Teams &amp; HM'!A18)</f>
        <v/>
      </c>
      <c r="B16" s="72" t="str">
        <f>IF('Teams &amp; HM'!H23="","",'Teams &amp; HM'!H23)</f>
        <v/>
      </c>
      <c r="C16" s="72" t="str">
        <f>IF('Teams &amp; HM'!A23="","",'Teams &amp; HM'!A23)</f>
        <v/>
      </c>
      <c r="D16" s="72" t="str">
        <f>IF('Teams &amp; HM'!B23="","",'Teams &amp; HM'!B23)</f>
        <v/>
      </c>
      <c r="F16" s="7"/>
      <c r="G16" s="7"/>
      <c r="H16" s="66"/>
      <c r="I16" s="7"/>
      <c r="J16" s="7"/>
      <c r="K16" s="7"/>
      <c r="L16" s="76" t="str">
        <f t="shared" si="0"/>
        <v/>
      </c>
      <c r="M16" s="110"/>
    </row>
    <row r="17" spans="1:13" hidden="1" x14ac:dyDescent="0.25">
      <c r="A17" s="72" t="str">
        <f>IF('Teams &amp; HM'!A18="","",'Teams &amp; HM'!A18)</f>
        <v/>
      </c>
      <c r="B17" s="72" t="str">
        <f>IF('Teams &amp; HM'!H24="","",'Teams &amp; HM'!H24)</f>
        <v/>
      </c>
      <c r="C17" s="72" t="str">
        <f>IF('Teams &amp; HM'!A24="","",'Teams &amp; HM'!A24)</f>
        <v/>
      </c>
      <c r="D17" s="72" t="str">
        <f>IF('Teams &amp; HM'!B24="","",'Teams &amp; HM'!B24)</f>
        <v/>
      </c>
      <c r="F17" s="7"/>
      <c r="G17" s="7"/>
      <c r="H17" s="66"/>
      <c r="I17" s="7"/>
      <c r="J17" s="7"/>
      <c r="K17" s="7"/>
      <c r="L17" s="76" t="str">
        <f t="shared" si="0"/>
        <v/>
      </c>
      <c r="M17" s="75"/>
    </row>
    <row r="18" spans="1:13" x14ac:dyDescent="0.25">
      <c r="A18" s="72" t="str">
        <f>IF('Teams &amp; HM'!A26="","",'Teams &amp; HM'!A26)</f>
        <v/>
      </c>
      <c r="B18" s="72" t="str">
        <f>IF('Teams &amp; HM'!H28="","",'Teams &amp; HM'!H28)</f>
        <v/>
      </c>
      <c r="C18" s="72" t="str">
        <f>IF('Teams &amp; HM'!A28="","",'Teams &amp; HM'!A28)</f>
        <v/>
      </c>
      <c r="D18" s="72" t="str">
        <f>IF('Teams &amp; HM'!B28="","",'Teams &amp; HM'!B28)</f>
        <v/>
      </c>
      <c r="F18" s="7"/>
      <c r="G18" s="7"/>
      <c r="H18" s="66"/>
      <c r="I18" s="7"/>
      <c r="J18" s="7"/>
      <c r="K18" s="7"/>
      <c r="L18" s="76" t="str">
        <f t="shared" si="0"/>
        <v/>
      </c>
      <c r="M18" s="108" t="str">
        <f>IF(L18="","",IF(COUNT(L18:L21)=4,(SUM(L18:L21)-MIN(L18:L21)),SUM(L18:L20)))</f>
        <v/>
      </c>
    </row>
    <row r="19" spans="1:13" x14ac:dyDescent="0.25">
      <c r="A19" s="72" t="str">
        <f>IF('Teams &amp; HM'!A26="","",'Teams &amp; HM'!A26)</f>
        <v/>
      </c>
      <c r="B19" s="72" t="str">
        <f>IF('Teams &amp; HM'!H29="","",'Teams &amp; HM'!H29)</f>
        <v/>
      </c>
      <c r="C19" s="72" t="str">
        <f>IF('Teams &amp; HM'!A29="","",'Teams &amp; HM'!A29)</f>
        <v/>
      </c>
      <c r="D19" s="72" t="str">
        <f>IF('Teams &amp; HM'!B29="","",'Teams &amp; HM'!B29)</f>
        <v/>
      </c>
      <c r="F19" s="7"/>
      <c r="G19" s="7"/>
      <c r="H19" s="66"/>
      <c r="I19" s="7"/>
      <c r="J19" s="7"/>
      <c r="K19" s="7"/>
      <c r="L19" s="76" t="str">
        <f t="shared" si="0"/>
        <v/>
      </c>
      <c r="M19" s="109"/>
    </row>
    <row r="20" spans="1:13" x14ac:dyDescent="0.25">
      <c r="A20" s="72" t="str">
        <f>IF('Teams &amp; HM'!A26="","",'Teams &amp; HM'!A26)</f>
        <v/>
      </c>
      <c r="B20" s="72" t="str">
        <f>IF('Teams &amp; HM'!H30="","",'Teams &amp; HM'!H30)</f>
        <v/>
      </c>
      <c r="C20" s="72" t="str">
        <f>IF('Teams &amp; HM'!A30="","",'Teams &amp; HM'!A30)</f>
        <v/>
      </c>
      <c r="D20" s="72" t="str">
        <f>IF('Teams &amp; HM'!B30="","",'Teams &amp; HM'!B30)</f>
        <v/>
      </c>
      <c r="F20" s="7"/>
      <c r="G20" s="7"/>
      <c r="H20" s="66"/>
      <c r="I20" s="7"/>
      <c r="J20" s="7"/>
      <c r="K20" s="7"/>
      <c r="L20" s="76" t="str">
        <f t="shared" si="0"/>
        <v/>
      </c>
      <c r="M20" s="109"/>
    </row>
    <row r="21" spans="1:13" x14ac:dyDescent="0.25">
      <c r="A21" s="72" t="str">
        <f>IF('Teams &amp; HM'!A26="","",'Teams &amp; HM'!A26)</f>
        <v/>
      </c>
      <c r="B21" s="72" t="str">
        <f>IF('Teams &amp; HM'!H31="","",'Teams &amp; HM'!H31)</f>
        <v/>
      </c>
      <c r="C21" s="72" t="str">
        <f>IF('Teams &amp; HM'!A31="","",'Teams &amp; HM'!A31)</f>
        <v/>
      </c>
      <c r="D21" s="72" t="str">
        <f>IF('Teams &amp; HM'!B31="","",'Teams &amp; HM'!B31)</f>
        <v/>
      </c>
      <c r="F21" s="7"/>
      <c r="G21" s="7"/>
      <c r="H21" s="66"/>
      <c r="I21" s="7"/>
      <c r="J21" s="7"/>
      <c r="K21" s="7"/>
      <c r="L21" s="76" t="str">
        <f t="shared" si="0"/>
        <v/>
      </c>
      <c r="M21" s="110"/>
    </row>
    <row r="22" spans="1:13" hidden="1" x14ac:dyDescent="0.25">
      <c r="A22" s="72" t="str">
        <f>IF('Teams &amp; HM'!A26="","",'Teams &amp; HM'!A26)</f>
        <v/>
      </c>
      <c r="B22" s="72" t="str">
        <f>IF('Teams &amp; HM'!H32="","",'Teams &amp; HM'!H32)</f>
        <v/>
      </c>
      <c r="C22" s="72" t="str">
        <f>IF('Teams &amp; HM'!A32="","",'Teams &amp; HM'!A32)</f>
        <v/>
      </c>
      <c r="D22" s="72" t="str">
        <f>IF('Teams &amp; HM'!B32="","",'Teams &amp; HM'!B32)</f>
        <v/>
      </c>
      <c r="F22" s="7"/>
      <c r="G22" s="7"/>
      <c r="H22" s="66"/>
      <c r="I22" s="7"/>
      <c r="J22" s="7"/>
      <c r="K22" s="7"/>
      <c r="L22" s="76" t="str">
        <f t="shared" si="0"/>
        <v/>
      </c>
      <c r="M22" s="75"/>
    </row>
    <row r="23" spans="1:13" x14ac:dyDescent="0.25">
      <c r="A23" s="72" t="str">
        <f>IF('Teams &amp; HM'!A34="","",'Teams &amp; HM'!A34)</f>
        <v/>
      </c>
      <c r="B23" s="72" t="str">
        <f>IF('Teams &amp; HM'!H36="","",'Teams &amp; HM'!H36)</f>
        <v/>
      </c>
      <c r="C23" s="72" t="str">
        <f>IF('Teams &amp; HM'!A36="","",'Teams &amp; HM'!A36)</f>
        <v/>
      </c>
      <c r="D23" s="72" t="str">
        <f>IF('Teams &amp; HM'!B36="","",'Teams &amp; HM'!B36)</f>
        <v/>
      </c>
      <c r="F23" s="7"/>
      <c r="G23" s="7"/>
      <c r="H23" s="66"/>
      <c r="I23" s="7"/>
      <c r="J23" s="7"/>
      <c r="K23" s="7"/>
      <c r="L23" s="76" t="str">
        <f t="shared" si="0"/>
        <v/>
      </c>
      <c r="M23" s="108" t="str">
        <f>IF(L23="","",IF(COUNT(L23:L26)=4,(SUM(L23:L26)-MIN(L23:L26)),SUM(L23:L25)))</f>
        <v/>
      </c>
    </row>
    <row r="24" spans="1:13" x14ac:dyDescent="0.25">
      <c r="A24" s="72" t="str">
        <f>IF('Teams &amp; HM'!A34="","",'Teams &amp; HM'!A34)</f>
        <v/>
      </c>
      <c r="B24" s="72" t="str">
        <f>IF('Teams &amp; HM'!H37="","",'Teams &amp; HM'!H37)</f>
        <v/>
      </c>
      <c r="C24" s="72" t="str">
        <f>IF('Teams &amp; HM'!A37="","",'Teams &amp; HM'!A37)</f>
        <v/>
      </c>
      <c r="D24" s="72" t="str">
        <f>IF('Teams &amp; HM'!B37="","",'Teams &amp; HM'!B37)</f>
        <v/>
      </c>
      <c r="F24" s="7"/>
      <c r="G24" s="7"/>
      <c r="H24" s="66"/>
      <c r="I24" s="7"/>
      <c r="J24" s="7"/>
      <c r="K24" s="7"/>
      <c r="L24" s="76" t="str">
        <f t="shared" si="0"/>
        <v/>
      </c>
      <c r="M24" s="109"/>
    </row>
    <row r="25" spans="1:13" x14ac:dyDescent="0.25">
      <c r="A25" s="72" t="str">
        <f>IF('Teams &amp; HM'!A34="","",'Teams &amp; HM'!A34)</f>
        <v/>
      </c>
      <c r="B25" s="72" t="str">
        <f>IF('Teams &amp; HM'!H38="","",'Teams &amp; HM'!H38)</f>
        <v/>
      </c>
      <c r="C25" s="72" t="str">
        <f>IF('Teams &amp; HM'!A38="","",'Teams &amp; HM'!A38)</f>
        <v/>
      </c>
      <c r="D25" s="72" t="str">
        <f>IF('Teams &amp; HM'!B38="","",'Teams &amp; HM'!B38)</f>
        <v/>
      </c>
      <c r="F25" s="7"/>
      <c r="G25" s="7"/>
      <c r="H25" s="66"/>
      <c r="I25" s="7"/>
      <c r="J25" s="7"/>
      <c r="K25" s="7"/>
      <c r="L25" s="76" t="str">
        <f t="shared" si="0"/>
        <v/>
      </c>
      <c r="M25" s="109"/>
    </row>
    <row r="26" spans="1:13" x14ac:dyDescent="0.25">
      <c r="A26" s="72" t="str">
        <f>IF('Teams &amp; HM'!A34="","",'Teams &amp; HM'!A34)</f>
        <v/>
      </c>
      <c r="B26" s="72" t="str">
        <f>IF('Teams &amp; HM'!H39="","",'Teams &amp; HM'!H39)</f>
        <v/>
      </c>
      <c r="C26" s="72" t="str">
        <f>IF('Teams &amp; HM'!A39="","",'Teams &amp; HM'!A39)</f>
        <v/>
      </c>
      <c r="D26" s="72" t="str">
        <f>IF('Teams &amp; HM'!B39="","",'Teams &amp; HM'!B39)</f>
        <v/>
      </c>
      <c r="F26" s="7"/>
      <c r="G26" s="7"/>
      <c r="H26" s="66"/>
      <c r="I26" s="7"/>
      <c r="J26" s="7"/>
      <c r="K26" s="7"/>
      <c r="L26" s="76" t="str">
        <f t="shared" si="0"/>
        <v/>
      </c>
      <c r="M26" s="110"/>
    </row>
    <row r="27" spans="1:13" hidden="1" x14ac:dyDescent="0.25">
      <c r="A27" s="72" t="str">
        <f>IF('Teams &amp; HM'!A34="","",'Teams &amp; HM'!A34)</f>
        <v/>
      </c>
      <c r="B27" s="72" t="str">
        <f>IF('Teams &amp; HM'!H40="","",'Teams &amp; HM'!H40)</f>
        <v/>
      </c>
      <c r="C27" s="72" t="str">
        <f>IF('Teams &amp; HM'!A40="","",'Teams &amp; HM'!A40)</f>
        <v/>
      </c>
      <c r="D27" s="72" t="str">
        <f>IF('Teams &amp; HM'!B40="","",'Teams &amp; HM'!B40)</f>
        <v/>
      </c>
      <c r="F27" s="7"/>
      <c r="G27" s="7"/>
      <c r="H27" s="66"/>
      <c r="I27" s="7"/>
      <c r="J27" s="7"/>
      <c r="K27" s="7"/>
      <c r="L27" s="76" t="str">
        <f t="shared" si="0"/>
        <v/>
      </c>
      <c r="M27" s="75"/>
    </row>
    <row r="28" spans="1:13" x14ac:dyDescent="0.25">
      <c r="A28" s="72" t="str">
        <f>IF('Teams &amp; HM'!A42="","",'Teams &amp; HM'!A42)</f>
        <v/>
      </c>
      <c r="B28" s="72" t="str">
        <f>IF('Teams &amp; HM'!H44="","",'Teams &amp; HM'!H44)</f>
        <v/>
      </c>
      <c r="C28" s="72" t="str">
        <f>IF('Teams &amp; HM'!A44="","",'Teams &amp; HM'!A44)</f>
        <v/>
      </c>
      <c r="D28" s="72" t="str">
        <f>IF('Teams &amp; HM'!B44="","",'Teams &amp; HM'!B44)</f>
        <v/>
      </c>
      <c r="F28" s="7"/>
      <c r="G28" s="7"/>
      <c r="H28" s="66"/>
      <c r="I28" s="7"/>
      <c r="J28" s="7"/>
      <c r="K28" s="7"/>
      <c r="L28" s="76" t="str">
        <f t="shared" si="0"/>
        <v/>
      </c>
      <c r="M28" s="108" t="str">
        <f>IF(L28="","",IF(COUNT(L28:L31)=4,(SUM(L28:L31)-MIN(L28:L31)),SUM(L28:L30)))</f>
        <v/>
      </c>
    </row>
    <row r="29" spans="1:13" x14ac:dyDescent="0.25">
      <c r="A29" s="72" t="str">
        <f>IF('Teams &amp; HM'!A42="","",'Teams &amp; HM'!A42)</f>
        <v/>
      </c>
      <c r="B29" s="72" t="str">
        <f>IF('Teams &amp; HM'!H45="","",'Teams &amp; HM'!H45)</f>
        <v/>
      </c>
      <c r="C29" s="72" t="str">
        <f>IF('Teams &amp; HM'!A45="","",'Teams &amp; HM'!A45)</f>
        <v/>
      </c>
      <c r="D29" s="72" t="str">
        <f>IF('Teams &amp; HM'!B45="","",'Teams &amp; HM'!B45)</f>
        <v/>
      </c>
      <c r="F29" s="7"/>
      <c r="G29" s="7"/>
      <c r="H29" s="66"/>
      <c r="I29" s="7"/>
      <c r="J29" s="7"/>
      <c r="K29" s="7"/>
      <c r="L29" s="76" t="str">
        <f t="shared" si="0"/>
        <v/>
      </c>
      <c r="M29" s="109"/>
    </row>
    <row r="30" spans="1:13" x14ac:dyDescent="0.25">
      <c r="A30" s="72" t="str">
        <f>IF('Teams &amp; HM'!A42="","",'Teams &amp; HM'!A42)</f>
        <v/>
      </c>
      <c r="B30" s="72" t="str">
        <f>IF('Teams &amp; HM'!H46="","",'Teams &amp; HM'!H46)</f>
        <v/>
      </c>
      <c r="C30" s="72" t="str">
        <f>IF('Teams &amp; HM'!A46="","",'Teams &amp; HM'!A46)</f>
        <v/>
      </c>
      <c r="D30" s="72" t="str">
        <f>IF('Teams &amp; HM'!B46="","",'Teams &amp; HM'!B46)</f>
        <v/>
      </c>
      <c r="F30" s="7"/>
      <c r="G30" s="7"/>
      <c r="H30" s="66"/>
      <c r="I30" s="7"/>
      <c r="J30" s="7"/>
      <c r="K30" s="7"/>
      <c r="L30" s="76" t="str">
        <f t="shared" si="0"/>
        <v/>
      </c>
      <c r="M30" s="109"/>
    </row>
    <row r="31" spans="1:13" x14ac:dyDescent="0.25">
      <c r="A31" s="72" t="str">
        <f>IF('Teams &amp; HM'!A42="","",'Teams &amp; HM'!A42)</f>
        <v/>
      </c>
      <c r="B31" s="72" t="str">
        <f>IF('Teams &amp; HM'!H47="","",'Teams &amp; HM'!H47)</f>
        <v/>
      </c>
      <c r="C31" s="72" t="str">
        <f>IF('Teams &amp; HM'!A47="","",'Teams &amp; HM'!A47)</f>
        <v/>
      </c>
      <c r="D31" s="72" t="str">
        <f>IF('Teams &amp; HM'!B47="","",'Teams &amp; HM'!B47)</f>
        <v/>
      </c>
      <c r="F31" s="7"/>
      <c r="G31" s="7"/>
      <c r="H31" s="66"/>
      <c r="I31" s="7"/>
      <c r="J31" s="7"/>
      <c r="K31" s="7"/>
      <c r="L31" s="76" t="str">
        <f t="shared" si="0"/>
        <v/>
      </c>
      <c r="M31" s="110"/>
    </row>
    <row r="32" spans="1:13" hidden="1" x14ac:dyDescent="0.25">
      <c r="A32" s="72" t="str">
        <f>IF('Teams &amp; HM'!A42="","",'Teams &amp; HM'!A42)</f>
        <v/>
      </c>
      <c r="B32" s="72" t="str">
        <f>IF('Teams &amp; HM'!H48="","",'Teams &amp; HM'!H48)</f>
        <v/>
      </c>
      <c r="C32" s="72" t="str">
        <f>IF('Teams &amp; HM'!A48="","",'Teams &amp; HM'!A48)</f>
        <v/>
      </c>
      <c r="D32" s="72" t="str">
        <f>IF('Teams &amp; HM'!B48="","",'Teams &amp; HM'!B48)</f>
        <v/>
      </c>
      <c r="F32" s="7"/>
      <c r="G32" s="7"/>
      <c r="H32" s="66"/>
      <c r="I32" s="7"/>
      <c r="J32" s="7"/>
      <c r="K32" s="7"/>
      <c r="L32" s="76" t="str">
        <f t="shared" si="0"/>
        <v/>
      </c>
      <c r="M32" s="75"/>
    </row>
    <row r="33" spans="1:13" x14ac:dyDescent="0.25">
      <c r="A33" s="72" t="str">
        <f>IF('Teams &amp; HM'!A50="","",'Teams &amp; HM'!A50)</f>
        <v/>
      </c>
      <c r="B33" s="72" t="str">
        <f>IF('Teams &amp; HM'!H52="","",'Teams &amp; HM'!H52)</f>
        <v/>
      </c>
      <c r="C33" s="72" t="str">
        <f>IF('Teams &amp; HM'!A52="","",'Teams &amp; HM'!A52)</f>
        <v/>
      </c>
      <c r="D33" s="72" t="str">
        <f>IF('Teams &amp; HM'!B52="","",'Teams &amp; HM'!B52)</f>
        <v/>
      </c>
      <c r="F33" s="7"/>
      <c r="G33" s="7"/>
      <c r="H33" s="66"/>
      <c r="I33" s="7"/>
      <c r="J33" s="7"/>
      <c r="K33" s="7"/>
      <c r="L33" s="76" t="str">
        <f t="shared" si="0"/>
        <v/>
      </c>
      <c r="M33" s="108" t="str">
        <f>IF(L33="","",IF(COUNT(L33:L36)=4,(SUM(L33:L36)-MIN(L33:L36)),SUM(L33:L35)))</f>
        <v/>
      </c>
    </row>
    <row r="34" spans="1:13" x14ac:dyDescent="0.25">
      <c r="A34" s="72" t="str">
        <f>IF('Teams &amp; HM'!A50="","",'Teams &amp; HM'!A50)</f>
        <v/>
      </c>
      <c r="B34" s="72" t="str">
        <f>IF('Teams &amp; HM'!H53="","",'Teams &amp; HM'!H53)</f>
        <v/>
      </c>
      <c r="C34" s="72" t="str">
        <f>IF('Teams &amp; HM'!A53="","",'Teams &amp; HM'!A53)</f>
        <v/>
      </c>
      <c r="D34" s="72" t="str">
        <f>IF('Teams &amp; HM'!B53="","",'Teams &amp; HM'!B53)</f>
        <v/>
      </c>
      <c r="F34" s="7"/>
      <c r="G34" s="7"/>
      <c r="H34" s="66"/>
      <c r="I34" s="7"/>
      <c r="J34" s="7"/>
      <c r="K34" s="7"/>
      <c r="L34" s="76" t="str">
        <f t="shared" si="0"/>
        <v/>
      </c>
      <c r="M34" s="109"/>
    </row>
    <row r="35" spans="1:13" x14ac:dyDescent="0.25">
      <c r="A35" s="72" t="str">
        <f>IF('Teams &amp; HM'!A50="","",'Teams &amp; HM'!A50)</f>
        <v/>
      </c>
      <c r="B35" s="72" t="str">
        <f>IF('Teams &amp; HM'!H54="","",'Teams &amp; HM'!H54)</f>
        <v/>
      </c>
      <c r="C35" s="72" t="str">
        <f>IF('Teams &amp; HM'!A54="","",'Teams &amp; HM'!A54)</f>
        <v/>
      </c>
      <c r="D35" s="72" t="str">
        <f>IF('Teams &amp; HM'!B54="","",'Teams &amp; HM'!B54)</f>
        <v/>
      </c>
      <c r="F35" s="7"/>
      <c r="G35" s="7"/>
      <c r="H35" s="66"/>
      <c r="I35" s="7"/>
      <c r="J35" s="7"/>
      <c r="K35" s="7"/>
      <c r="L35" s="76" t="str">
        <f t="shared" si="0"/>
        <v/>
      </c>
      <c r="M35" s="109"/>
    </row>
    <row r="36" spans="1:13" x14ac:dyDescent="0.25">
      <c r="A36" s="72" t="str">
        <f>IF('Teams &amp; HM'!A50="","",'Teams &amp; HM'!A50)</f>
        <v/>
      </c>
      <c r="B36" s="72" t="str">
        <f>IF('Teams &amp; HM'!H55="","",'Teams &amp; HM'!H55)</f>
        <v/>
      </c>
      <c r="C36" s="72" t="str">
        <f>IF('Teams &amp; HM'!A55="","",'Teams &amp; HM'!A55)</f>
        <v/>
      </c>
      <c r="D36" s="72" t="str">
        <f>IF('Teams &amp; HM'!B55="","",'Teams &amp; HM'!B55)</f>
        <v/>
      </c>
      <c r="F36" s="7"/>
      <c r="G36" s="7"/>
      <c r="H36" s="66"/>
      <c r="I36" s="7"/>
      <c r="J36" s="7"/>
      <c r="K36" s="7"/>
      <c r="L36" s="76" t="str">
        <f t="shared" si="0"/>
        <v/>
      </c>
      <c r="M36" s="110"/>
    </row>
    <row r="37" spans="1:13" hidden="1" x14ac:dyDescent="0.25">
      <c r="A37" s="72" t="str">
        <f>IF('Teams &amp; HM'!A50="","",'Teams &amp; HM'!A50)</f>
        <v/>
      </c>
      <c r="B37" s="72" t="str">
        <f>IF('Teams &amp; HM'!H56="","",'Teams &amp; HM'!H56)</f>
        <v/>
      </c>
      <c r="C37" s="72" t="str">
        <f>IF('Teams &amp; HM'!A56="","",'Teams &amp; HM'!A56)</f>
        <v/>
      </c>
      <c r="D37" s="72" t="str">
        <f>IF('Teams &amp; HM'!B56="","",'Teams &amp; HM'!B56)</f>
        <v/>
      </c>
      <c r="F37" s="7"/>
      <c r="G37" s="7"/>
      <c r="H37" s="66"/>
      <c r="I37" s="7"/>
      <c r="J37" s="7"/>
      <c r="K37" s="7"/>
      <c r="L37" s="76" t="str">
        <f t="shared" si="0"/>
        <v/>
      </c>
      <c r="M37" s="75"/>
    </row>
    <row r="38" spans="1:13" x14ac:dyDescent="0.25">
      <c r="A38" s="72" t="str">
        <f>IF('Teams &amp; HM'!A58="","",'Teams &amp; HM'!A58)</f>
        <v/>
      </c>
      <c r="B38" s="72" t="str">
        <f>IF('Teams &amp; HM'!H60="","",'Teams &amp; HM'!H60)</f>
        <v/>
      </c>
      <c r="C38" s="72" t="str">
        <f>IF('Teams &amp; HM'!A60="","",'Teams &amp; HM'!A60)</f>
        <v/>
      </c>
      <c r="D38" s="72" t="str">
        <f>IF('Teams &amp; HM'!B60="","",'Teams &amp; HM'!B60)</f>
        <v/>
      </c>
      <c r="F38" s="7"/>
      <c r="G38" s="7"/>
      <c r="H38" s="66"/>
      <c r="I38" s="7"/>
      <c r="J38" s="7"/>
      <c r="K38" s="7"/>
      <c r="L38" s="76" t="str">
        <f t="shared" si="0"/>
        <v/>
      </c>
      <c r="M38" s="108" t="str">
        <f>IF(L38="","",IF(COUNT(L38:L41)=4,(SUM(L38:L41)-MIN(L38:L41)),SUM(L38:L40)))</f>
        <v/>
      </c>
    </row>
    <row r="39" spans="1:13" x14ac:dyDescent="0.25">
      <c r="A39" s="72" t="str">
        <f>IF('Teams &amp; HM'!A58="","",'Teams &amp; HM'!A58)</f>
        <v/>
      </c>
      <c r="B39" s="72" t="str">
        <f>IF('Teams &amp; HM'!H61="","",'Teams &amp; HM'!H61)</f>
        <v/>
      </c>
      <c r="C39" s="72" t="str">
        <f>IF('Teams &amp; HM'!A61="","",'Teams &amp; HM'!A61)</f>
        <v/>
      </c>
      <c r="D39" s="72" t="str">
        <f>IF('Teams &amp; HM'!B61="","",'Teams &amp; HM'!B61)</f>
        <v/>
      </c>
      <c r="F39" s="7"/>
      <c r="G39" s="7"/>
      <c r="H39" s="66"/>
      <c r="I39" s="7"/>
      <c r="J39" s="7"/>
      <c r="K39" s="7"/>
      <c r="L39" s="76" t="str">
        <f t="shared" si="0"/>
        <v/>
      </c>
      <c r="M39" s="109"/>
    </row>
    <row r="40" spans="1:13" x14ac:dyDescent="0.25">
      <c r="A40" s="72" t="str">
        <f>IF('Teams &amp; HM'!A58="","",'Teams &amp; HM'!A58)</f>
        <v/>
      </c>
      <c r="B40" s="72" t="str">
        <f>IF('Teams &amp; HM'!H62="","",'Teams &amp; HM'!H62)</f>
        <v/>
      </c>
      <c r="C40" s="72" t="str">
        <f>IF('Teams &amp; HM'!A62="","",'Teams &amp; HM'!A62)</f>
        <v/>
      </c>
      <c r="D40" s="72" t="str">
        <f>IF('Teams &amp; HM'!B62="","",'Teams &amp; HM'!B62)</f>
        <v/>
      </c>
      <c r="F40" s="7"/>
      <c r="G40" s="7"/>
      <c r="H40" s="66"/>
      <c r="I40" s="7"/>
      <c r="J40" s="7"/>
      <c r="K40" s="7"/>
      <c r="L40" s="76" t="str">
        <f t="shared" si="0"/>
        <v/>
      </c>
      <c r="M40" s="109"/>
    </row>
    <row r="41" spans="1:13" x14ac:dyDescent="0.25">
      <c r="A41" s="72" t="str">
        <f>IF('Teams &amp; HM'!A58="","",'Teams &amp; HM'!A58)</f>
        <v/>
      </c>
      <c r="B41" s="72" t="str">
        <f>IF('Teams &amp; HM'!H63="","",'Teams &amp; HM'!H63)</f>
        <v/>
      </c>
      <c r="C41" s="72" t="str">
        <f>IF('Teams &amp; HM'!A63="","",'Teams &amp; HM'!A63)</f>
        <v/>
      </c>
      <c r="D41" s="72" t="str">
        <f>IF('Teams &amp; HM'!B63="","",'Teams &amp; HM'!B63)</f>
        <v/>
      </c>
      <c r="F41" s="7"/>
      <c r="G41" s="7"/>
      <c r="H41" s="66"/>
      <c r="I41" s="7"/>
      <c r="J41" s="7"/>
      <c r="K41" s="7"/>
      <c r="L41" s="76" t="str">
        <f t="shared" si="0"/>
        <v/>
      </c>
      <c r="M41" s="110"/>
    </row>
    <row r="42" spans="1:13" hidden="1" x14ac:dyDescent="0.25">
      <c r="A42" s="72" t="str">
        <f>IF('Teams &amp; HM'!A58="","",'Teams &amp; HM'!A58)</f>
        <v/>
      </c>
      <c r="B42" s="72" t="str">
        <f>IF('Teams &amp; HM'!H64="","",'Teams &amp; HM'!H64)</f>
        <v/>
      </c>
      <c r="C42" s="72" t="str">
        <f>IF('Teams &amp; HM'!A64="","",'Teams &amp; HM'!A64)</f>
        <v/>
      </c>
      <c r="D42" s="72" t="str">
        <f>IF('Teams &amp; HM'!B64="","",'Teams &amp; HM'!B64)</f>
        <v/>
      </c>
      <c r="F42" s="7"/>
      <c r="G42" s="7"/>
      <c r="H42" s="66"/>
      <c r="I42" s="7"/>
      <c r="J42" s="7"/>
      <c r="K42" s="7"/>
      <c r="L42" s="76" t="str">
        <f t="shared" si="0"/>
        <v/>
      </c>
      <c r="M42" s="75"/>
    </row>
    <row r="43" spans="1:13" x14ac:dyDescent="0.25">
      <c r="A43" s="72" t="str">
        <f>IF('Teams &amp; HM'!A66="","",'Teams &amp; HM'!A66)</f>
        <v/>
      </c>
      <c r="B43" s="72" t="str">
        <f>IF('Teams &amp; HM'!H68="","",'Teams &amp; HM'!H68)</f>
        <v/>
      </c>
      <c r="C43" s="72" t="str">
        <f>IF('Teams &amp; HM'!A68="","",'Teams &amp; HM'!A68)</f>
        <v/>
      </c>
      <c r="D43" s="72" t="str">
        <f>IF('Teams &amp; HM'!B68="","",'Teams &amp; HM'!B68)</f>
        <v/>
      </c>
      <c r="F43" s="7"/>
      <c r="G43" s="7"/>
      <c r="H43" s="66"/>
      <c r="I43" s="7"/>
      <c r="J43" s="7"/>
      <c r="K43" s="7"/>
      <c r="L43" s="76" t="str">
        <f t="shared" si="0"/>
        <v/>
      </c>
      <c r="M43" s="108" t="str">
        <f>IF(L43="","",IF(COUNT(L43:L46)=4,(SUM(L43:L46)-MIN(L43:L46)),SUM(L43:L45)))</f>
        <v/>
      </c>
    </row>
    <row r="44" spans="1:13" x14ac:dyDescent="0.25">
      <c r="A44" s="72" t="str">
        <f>IF('Teams &amp; HM'!A66="","",'Teams &amp; HM'!A66)</f>
        <v/>
      </c>
      <c r="B44" s="72" t="str">
        <f>IF('Teams &amp; HM'!H69="","",'Teams &amp; HM'!H69)</f>
        <v/>
      </c>
      <c r="C44" s="72" t="str">
        <f>IF('Teams &amp; HM'!A69="","",'Teams &amp; HM'!A69)</f>
        <v/>
      </c>
      <c r="D44" s="72" t="str">
        <f>IF('Teams &amp; HM'!B69="","",'Teams &amp; HM'!B69)</f>
        <v/>
      </c>
      <c r="F44" s="7"/>
      <c r="G44" s="7"/>
      <c r="H44" s="66"/>
      <c r="I44" s="7"/>
      <c r="J44" s="7"/>
      <c r="K44" s="7"/>
      <c r="L44" s="76" t="str">
        <f t="shared" si="0"/>
        <v/>
      </c>
      <c r="M44" s="109"/>
    </row>
    <row r="45" spans="1:13" x14ac:dyDescent="0.25">
      <c r="A45" s="72" t="str">
        <f>IF('Teams &amp; HM'!A66="","",'Teams &amp; HM'!A66)</f>
        <v/>
      </c>
      <c r="B45" s="72" t="str">
        <f>IF('Teams &amp; HM'!H70="","",'Teams &amp; HM'!H70)</f>
        <v/>
      </c>
      <c r="C45" s="72" t="str">
        <f>IF('Teams &amp; HM'!A70="","",'Teams &amp; HM'!A70)</f>
        <v/>
      </c>
      <c r="D45" s="72" t="str">
        <f>IF('Teams &amp; HM'!B70="","",'Teams &amp; HM'!B70)</f>
        <v/>
      </c>
      <c r="F45" s="7"/>
      <c r="G45" s="7"/>
      <c r="H45" s="66"/>
      <c r="I45" s="7"/>
      <c r="J45" s="7"/>
      <c r="K45" s="7"/>
      <c r="L45" s="76" t="str">
        <f t="shared" si="0"/>
        <v/>
      </c>
      <c r="M45" s="109"/>
    </row>
    <row r="46" spans="1:13" x14ac:dyDescent="0.25">
      <c r="A46" s="72" t="str">
        <f>IF('Teams &amp; HM'!A66="","",'Teams &amp; HM'!A66)</f>
        <v/>
      </c>
      <c r="B46" s="72" t="str">
        <f>IF('Teams &amp; HM'!H71="","",'Teams &amp; HM'!H71)</f>
        <v/>
      </c>
      <c r="C46" s="72" t="str">
        <f>IF('Teams &amp; HM'!A71="","",'Teams &amp; HM'!A71)</f>
        <v/>
      </c>
      <c r="D46" s="72" t="str">
        <f>IF('Teams &amp; HM'!B71="","",'Teams &amp; HM'!B71)</f>
        <v/>
      </c>
      <c r="F46" s="7"/>
      <c r="G46" s="7"/>
      <c r="H46" s="66"/>
      <c r="I46" s="7"/>
      <c r="J46" s="7"/>
      <c r="K46" s="7"/>
      <c r="L46" s="76" t="str">
        <f t="shared" si="0"/>
        <v/>
      </c>
      <c r="M46" s="110"/>
    </row>
    <row r="47" spans="1:13" hidden="1" x14ac:dyDescent="0.25">
      <c r="A47" s="72" t="str">
        <f>IF('Teams &amp; HM'!A66="","",'Teams &amp; HM'!A66)</f>
        <v/>
      </c>
      <c r="B47" s="72" t="str">
        <f>IF('Teams &amp; HM'!H72="","",'Teams &amp; HM'!H72)</f>
        <v/>
      </c>
      <c r="C47" s="72" t="str">
        <f>IF('Teams &amp; HM'!A72="","",'Teams &amp; HM'!A72)</f>
        <v/>
      </c>
      <c r="D47" s="72" t="str">
        <f>IF('Teams &amp; HM'!B72="","",'Teams &amp; HM'!B72)</f>
        <v/>
      </c>
      <c r="F47" s="7"/>
      <c r="G47" s="7"/>
      <c r="H47" s="66"/>
      <c r="I47" s="7"/>
      <c r="J47" s="7"/>
      <c r="K47" s="7"/>
      <c r="L47" s="76" t="str">
        <f t="shared" si="0"/>
        <v/>
      </c>
      <c r="M47" s="75"/>
    </row>
    <row r="48" spans="1:13" x14ac:dyDescent="0.25">
      <c r="A48" s="72" t="str">
        <f>IF('Teams &amp; HM'!A74="","",'Teams &amp; HM'!A74)</f>
        <v/>
      </c>
      <c r="B48" s="72" t="str">
        <f>IF('Teams &amp; HM'!H76="","",'Teams &amp; HM'!H76)</f>
        <v/>
      </c>
      <c r="C48" s="72" t="str">
        <f>IF('Teams &amp; HM'!A76="","",'Teams &amp; HM'!A76)</f>
        <v/>
      </c>
      <c r="D48" s="72" t="str">
        <f>IF('Teams &amp; HM'!B76="","",'Teams &amp; HM'!B76)</f>
        <v/>
      </c>
      <c r="F48" s="7"/>
      <c r="G48" s="7"/>
      <c r="H48" s="66"/>
      <c r="I48" s="7"/>
      <c r="J48" s="7"/>
      <c r="K48" s="7"/>
      <c r="L48" s="76" t="str">
        <f t="shared" si="0"/>
        <v/>
      </c>
      <c r="M48" s="108" t="str">
        <f>IF(L48="","",IF(COUNT(L48:L51)=4,(SUM(L48:L51)-MIN(L48:L51)),SUM(L48:L50)))</f>
        <v/>
      </c>
    </row>
    <row r="49" spans="1:13" x14ac:dyDescent="0.25">
      <c r="A49" s="72" t="str">
        <f>IF('Teams &amp; HM'!A74="","",'Teams &amp; HM'!A74)</f>
        <v/>
      </c>
      <c r="B49" s="72" t="str">
        <f>IF('Teams &amp; HM'!H77="","",'Teams &amp; HM'!H77)</f>
        <v/>
      </c>
      <c r="C49" s="72" t="str">
        <f>IF('Teams &amp; HM'!A77="","",'Teams &amp; HM'!A77)</f>
        <v/>
      </c>
      <c r="D49" s="72" t="str">
        <f>IF('Teams &amp; HM'!B77="","",'Teams &amp; HM'!B77)</f>
        <v/>
      </c>
      <c r="F49" s="7"/>
      <c r="G49" s="7"/>
      <c r="H49" s="66"/>
      <c r="I49" s="7"/>
      <c r="J49" s="7"/>
      <c r="K49" s="7"/>
      <c r="L49" s="76" t="str">
        <f t="shared" si="0"/>
        <v/>
      </c>
      <c r="M49" s="109"/>
    </row>
    <row r="50" spans="1:13" x14ac:dyDescent="0.25">
      <c r="A50" s="72" t="str">
        <f>IF('Teams &amp; HM'!A74="","",'Teams &amp; HM'!A74)</f>
        <v/>
      </c>
      <c r="B50" s="72" t="str">
        <f>IF('Teams &amp; HM'!H78="","",'Teams &amp; HM'!H78)</f>
        <v/>
      </c>
      <c r="C50" s="72" t="str">
        <f>IF('Teams &amp; HM'!A78="","",'Teams &amp; HM'!A78)</f>
        <v/>
      </c>
      <c r="D50" s="72" t="str">
        <f>IF('Teams &amp; HM'!B78="","",'Teams &amp; HM'!B78)</f>
        <v/>
      </c>
      <c r="F50" s="7"/>
      <c r="G50" s="7"/>
      <c r="H50" s="66"/>
      <c r="I50" s="7"/>
      <c r="J50" s="7"/>
      <c r="K50" s="7"/>
      <c r="L50" s="76" t="str">
        <f t="shared" si="0"/>
        <v/>
      </c>
      <c r="M50" s="109"/>
    </row>
    <row r="51" spans="1:13" x14ac:dyDescent="0.25">
      <c r="A51" s="72" t="str">
        <f>IF('Teams &amp; HM'!A74="","",'Teams &amp; HM'!A74)</f>
        <v/>
      </c>
      <c r="B51" s="72" t="str">
        <f>IF('Teams &amp; HM'!H79="","",'Teams &amp; HM'!H79)</f>
        <v/>
      </c>
      <c r="C51" s="72" t="str">
        <f>IF('Teams &amp; HM'!A79="","",'Teams &amp; HM'!A79)</f>
        <v/>
      </c>
      <c r="D51" s="72" t="str">
        <f>IF('Teams &amp; HM'!B79="","",'Teams &amp; HM'!B79)</f>
        <v/>
      </c>
      <c r="F51" s="7"/>
      <c r="G51" s="7"/>
      <c r="H51" s="66"/>
      <c r="I51" s="7"/>
      <c r="J51" s="7"/>
      <c r="K51" s="7"/>
      <c r="L51" s="76" t="str">
        <f t="shared" si="0"/>
        <v/>
      </c>
      <c r="M51" s="110"/>
    </row>
    <row r="52" spans="1:13" hidden="1" x14ac:dyDescent="0.25">
      <c r="A52" s="72" t="str">
        <f>IF('Teams &amp; HM'!A74="","",'Teams &amp; HM'!A74)</f>
        <v/>
      </c>
      <c r="B52" s="72" t="str">
        <f>IF('Teams &amp; HM'!H80="","",'Teams &amp; HM'!H80)</f>
        <v/>
      </c>
      <c r="C52" s="72" t="str">
        <f>IF('Teams &amp; HM'!A80="","",'Teams &amp; HM'!A80)</f>
        <v/>
      </c>
      <c r="D52" s="72" t="str">
        <f>IF('Teams &amp; HM'!B80="","",'Teams &amp; HM'!B80)</f>
        <v/>
      </c>
      <c r="F52" s="7"/>
      <c r="G52" s="7"/>
      <c r="H52" s="66"/>
      <c r="I52" s="7"/>
      <c r="J52" s="7"/>
      <c r="K52" s="7"/>
      <c r="L52" s="76" t="str">
        <f t="shared" si="0"/>
        <v/>
      </c>
      <c r="M52" s="75"/>
    </row>
    <row r="53" spans="1:13" x14ac:dyDescent="0.25">
      <c r="A53" s="72" t="str">
        <f>IF('Teams &amp; HM'!A82="","",'Teams &amp; HM'!A82)</f>
        <v/>
      </c>
      <c r="B53" s="72" t="str">
        <f>IF('Teams &amp; HM'!H84="","",'Teams &amp; HM'!H84)</f>
        <v/>
      </c>
      <c r="C53" s="72" t="str">
        <f>IF('Teams &amp; HM'!A84="","",'Teams &amp; HM'!A84)</f>
        <v/>
      </c>
      <c r="D53" s="72" t="str">
        <f>IF('Teams &amp; HM'!B84="","",'Teams &amp; HM'!B84)</f>
        <v/>
      </c>
      <c r="F53" s="7"/>
      <c r="G53" s="7"/>
      <c r="H53" s="66"/>
      <c r="I53" s="7"/>
      <c r="J53" s="7"/>
      <c r="K53" s="7"/>
      <c r="L53" s="76" t="str">
        <f t="shared" si="0"/>
        <v/>
      </c>
      <c r="M53" s="108" t="str">
        <f>IF(L53="","",IF(COUNT(L53:L56)=4,(SUM(L53:L56)-MIN(L53:L56)),SUM(L53:L55)))</f>
        <v/>
      </c>
    </row>
    <row r="54" spans="1:13" x14ac:dyDescent="0.25">
      <c r="A54" s="72" t="str">
        <f>IF('Teams &amp; HM'!A82="","",'Teams &amp; HM'!A82)</f>
        <v/>
      </c>
      <c r="B54" s="72" t="str">
        <f>IF('Teams &amp; HM'!H85="","",'Teams &amp; HM'!H85)</f>
        <v/>
      </c>
      <c r="C54" s="72" t="str">
        <f>IF('Teams &amp; HM'!A85="","",'Teams &amp; HM'!A85)</f>
        <v/>
      </c>
      <c r="D54" s="72" t="str">
        <f>IF('Teams &amp; HM'!B85="","",'Teams &amp; HM'!B85)</f>
        <v/>
      </c>
      <c r="F54" s="7"/>
      <c r="G54" s="7"/>
      <c r="H54" s="66"/>
      <c r="I54" s="7"/>
      <c r="J54" s="7"/>
      <c r="K54" s="7"/>
      <c r="L54" s="76" t="str">
        <f t="shared" si="0"/>
        <v/>
      </c>
      <c r="M54" s="109"/>
    </row>
    <row r="55" spans="1:13" x14ac:dyDescent="0.25">
      <c r="A55" s="72" t="str">
        <f>IF('Teams &amp; HM'!A82="","",'Teams &amp; HM'!A82)</f>
        <v/>
      </c>
      <c r="B55" s="72" t="str">
        <f>IF('Teams &amp; HM'!H86="","",'Teams &amp; HM'!H86)</f>
        <v/>
      </c>
      <c r="C55" s="72" t="str">
        <f>IF('Teams &amp; HM'!A86="","",'Teams &amp; HM'!A86)</f>
        <v/>
      </c>
      <c r="D55" s="72" t="str">
        <f>IF('Teams &amp; HM'!B86="","",'Teams &amp; HM'!B86)</f>
        <v/>
      </c>
      <c r="F55" s="7"/>
      <c r="G55" s="7"/>
      <c r="H55" s="66"/>
      <c r="I55" s="7"/>
      <c r="J55" s="7"/>
      <c r="K55" s="7"/>
      <c r="L55" s="76" t="str">
        <f t="shared" si="0"/>
        <v/>
      </c>
      <c r="M55" s="109"/>
    </row>
    <row r="56" spans="1:13" x14ac:dyDescent="0.25">
      <c r="A56" s="72" t="str">
        <f>IF('Teams &amp; HM'!A82="","",'Teams &amp; HM'!A82)</f>
        <v/>
      </c>
      <c r="B56" s="72" t="str">
        <f>IF('Teams &amp; HM'!H87="","",'Teams &amp; HM'!H87)</f>
        <v/>
      </c>
      <c r="C56" s="72" t="str">
        <f>IF('Teams &amp; HM'!A87="","",'Teams &amp; HM'!A87)</f>
        <v/>
      </c>
      <c r="D56" s="72" t="str">
        <f>IF('Teams &amp; HM'!B87="","",'Teams &amp; HM'!B87)</f>
        <v/>
      </c>
      <c r="F56" s="7"/>
      <c r="G56" s="7"/>
      <c r="H56" s="66"/>
      <c r="I56" s="7"/>
      <c r="J56" s="7"/>
      <c r="K56" s="7"/>
      <c r="L56" s="76" t="str">
        <f t="shared" si="0"/>
        <v/>
      </c>
      <c r="M56" s="110"/>
    </row>
    <row r="57" spans="1:13" hidden="1" x14ac:dyDescent="0.25">
      <c r="A57" s="72" t="str">
        <f>IF('Teams &amp; HM'!A82="","",'Teams &amp; HM'!A82)</f>
        <v/>
      </c>
      <c r="B57" s="72" t="str">
        <f>IF('Teams &amp; HM'!H88="","",'Teams &amp; HM'!H88)</f>
        <v/>
      </c>
      <c r="C57" s="72" t="str">
        <f>IF('Teams &amp; HM'!A88="","",'Teams &amp; HM'!A88)</f>
        <v/>
      </c>
      <c r="D57" s="72" t="str">
        <f>IF('Teams &amp; HM'!B88="","",'Teams &amp; HM'!B88)</f>
        <v/>
      </c>
      <c r="F57" s="7"/>
      <c r="G57" s="7"/>
      <c r="H57" s="66"/>
      <c r="I57" s="7"/>
      <c r="J57" s="7"/>
      <c r="K57" s="7"/>
      <c r="L57" s="76" t="str">
        <f t="shared" si="0"/>
        <v/>
      </c>
      <c r="M57" s="75"/>
    </row>
    <row r="58" spans="1:13" x14ac:dyDescent="0.25">
      <c r="A58" s="72" t="str">
        <f>IF('Teams &amp; HM'!A90="","",'Teams &amp; HM'!A90)</f>
        <v/>
      </c>
      <c r="B58" s="72" t="str">
        <f>IF('Teams &amp; HM'!H92="","",'Teams &amp; HM'!H92)</f>
        <v/>
      </c>
      <c r="C58" s="72" t="str">
        <f>IF('Teams &amp; HM'!A92="","",'Teams &amp; HM'!A92)</f>
        <v/>
      </c>
      <c r="D58" s="72" t="str">
        <f>IF('Teams &amp; HM'!B92="","",'Teams &amp; HM'!B92)</f>
        <v/>
      </c>
      <c r="F58" s="7"/>
      <c r="G58" s="7"/>
      <c r="H58" s="66"/>
      <c r="I58" s="7"/>
      <c r="J58" s="7"/>
      <c r="K58" s="7"/>
      <c r="L58" s="76" t="str">
        <f t="shared" si="0"/>
        <v/>
      </c>
      <c r="M58" s="108" t="str">
        <f>IF(L58="","",IF(COUNT(L58:L61)=4,(SUM(L58:L61)-MIN(L58:L61)),SUM(L58:L60)))</f>
        <v/>
      </c>
    </row>
    <row r="59" spans="1:13" x14ac:dyDescent="0.25">
      <c r="A59" s="72" t="str">
        <f>IF('Teams &amp; HM'!A90="","",'Teams &amp; HM'!A90)</f>
        <v/>
      </c>
      <c r="B59" s="72" t="str">
        <f>IF('Teams &amp; HM'!H93="","",'Teams &amp; HM'!H93)</f>
        <v/>
      </c>
      <c r="C59" s="72" t="str">
        <f>IF('Teams &amp; HM'!A93="","",'Teams &amp; HM'!A93)</f>
        <v/>
      </c>
      <c r="D59" s="72" t="str">
        <f>IF('Teams &amp; HM'!B93="","",'Teams &amp; HM'!B93)</f>
        <v/>
      </c>
      <c r="F59" s="7"/>
      <c r="G59" s="7"/>
      <c r="H59" s="66"/>
      <c r="I59" s="7"/>
      <c r="J59" s="7"/>
      <c r="K59" s="7"/>
      <c r="L59" s="76" t="str">
        <f t="shared" si="0"/>
        <v/>
      </c>
      <c r="M59" s="109"/>
    </row>
    <row r="60" spans="1:13" x14ac:dyDescent="0.25">
      <c r="A60" s="72" t="str">
        <f>IF('Teams &amp; HM'!A90="","",'Teams &amp; HM'!A90)</f>
        <v/>
      </c>
      <c r="B60" s="72" t="str">
        <f>IF('Teams &amp; HM'!H94="","",'Teams &amp; HM'!H94)</f>
        <v/>
      </c>
      <c r="C60" s="72" t="str">
        <f>IF('Teams &amp; HM'!A94="","",'Teams &amp; HM'!A94)</f>
        <v/>
      </c>
      <c r="D60" s="72" t="str">
        <f>IF('Teams &amp; HM'!B94="","",'Teams &amp; HM'!B94)</f>
        <v/>
      </c>
      <c r="F60" s="7"/>
      <c r="G60" s="7"/>
      <c r="H60" s="66"/>
      <c r="I60" s="7"/>
      <c r="J60" s="7"/>
      <c r="K60" s="7"/>
      <c r="L60" s="76" t="str">
        <f t="shared" si="0"/>
        <v/>
      </c>
      <c r="M60" s="109"/>
    </row>
    <row r="61" spans="1:13" x14ac:dyDescent="0.25">
      <c r="A61" s="72" t="str">
        <f>IF('Teams &amp; HM'!A90="","",'Teams &amp; HM'!A90)</f>
        <v/>
      </c>
      <c r="B61" s="72" t="str">
        <f>IF('Teams &amp; HM'!H95="","",'Teams &amp; HM'!H95)</f>
        <v/>
      </c>
      <c r="C61" s="72" t="str">
        <f>IF('Teams &amp; HM'!A95="","",'Teams &amp; HM'!A95)</f>
        <v/>
      </c>
      <c r="D61" s="72" t="str">
        <f>IF('Teams &amp; HM'!B95="","",'Teams &amp; HM'!B95)</f>
        <v/>
      </c>
      <c r="F61" s="7"/>
      <c r="G61" s="7"/>
      <c r="H61" s="66"/>
      <c r="I61" s="7"/>
      <c r="J61" s="7"/>
      <c r="K61" s="7"/>
      <c r="L61" s="76" t="str">
        <f t="shared" si="0"/>
        <v/>
      </c>
      <c r="M61" s="110"/>
    </row>
    <row r="62" spans="1:13" hidden="1" x14ac:dyDescent="0.25">
      <c r="A62" s="72" t="str">
        <f>IF('Teams &amp; HM'!A90="","",'Teams &amp; HM'!A90)</f>
        <v/>
      </c>
      <c r="B62" s="72" t="str">
        <f>IF('Teams &amp; HM'!H96="","",'Teams &amp; HM'!H96)</f>
        <v/>
      </c>
      <c r="C62" s="72" t="str">
        <f>IF('Teams &amp; HM'!A96="","",'Teams &amp; HM'!A96)</f>
        <v/>
      </c>
      <c r="D62" s="72" t="str">
        <f>IF('Teams &amp; HM'!B96="","",'Teams &amp; HM'!B96)</f>
        <v/>
      </c>
      <c r="F62" s="7"/>
      <c r="G62" s="7"/>
      <c r="H62" s="66"/>
      <c r="I62" s="7"/>
      <c r="J62" s="7"/>
      <c r="K62" s="7"/>
      <c r="L62" s="76" t="str">
        <f t="shared" si="0"/>
        <v/>
      </c>
      <c r="M62" s="75"/>
    </row>
    <row r="63" spans="1:13" x14ac:dyDescent="0.25">
      <c r="A63" s="72" t="str">
        <f>IF('Teams &amp; HM'!A98="","",'Teams &amp; HM'!A98)</f>
        <v/>
      </c>
      <c r="B63" s="72" t="str">
        <f>IF('Teams &amp; HM'!H100="","",'Teams &amp; HM'!H100)</f>
        <v/>
      </c>
      <c r="C63" s="72" t="str">
        <f>IF('Teams &amp; HM'!A100="","",'Teams &amp; HM'!A100)</f>
        <v/>
      </c>
      <c r="D63" s="72" t="str">
        <f>IF('Teams &amp; HM'!B100="","",'Teams &amp; HM'!B100)</f>
        <v/>
      </c>
      <c r="F63" s="7"/>
      <c r="G63" s="7"/>
      <c r="H63" s="66"/>
      <c r="I63" s="7"/>
      <c r="J63" s="7"/>
      <c r="K63" s="7"/>
      <c r="L63" s="76" t="str">
        <f t="shared" si="0"/>
        <v/>
      </c>
      <c r="M63" s="108" t="str">
        <f>IF(L63="","",IF(COUNT(L63:L66)=4,(SUM(L63:L66)-MIN(L63:L66)),SUM(L63:L65)))</f>
        <v/>
      </c>
    </row>
    <row r="64" spans="1:13" x14ac:dyDescent="0.25">
      <c r="A64" s="72" t="str">
        <f>IF('Teams &amp; HM'!A98="","",'Teams &amp; HM'!A98)</f>
        <v/>
      </c>
      <c r="B64" s="72" t="str">
        <f>IF('Teams &amp; HM'!H101="","",'Teams &amp; HM'!H101)</f>
        <v/>
      </c>
      <c r="C64" s="72" t="str">
        <f>IF('Teams &amp; HM'!A101="","",'Teams &amp; HM'!A101)</f>
        <v/>
      </c>
      <c r="D64" s="72" t="str">
        <f>IF('Teams &amp; HM'!B101="","",'Teams &amp; HM'!B101)</f>
        <v/>
      </c>
      <c r="F64" s="7"/>
      <c r="G64" s="7"/>
      <c r="H64" s="66"/>
      <c r="I64" s="7"/>
      <c r="J64" s="7"/>
      <c r="K64" s="7"/>
      <c r="L64" s="76" t="str">
        <f t="shared" si="0"/>
        <v/>
      </c>
      <c r="M64" s="109"/>
    </row>
    <row r="65" spans="1:13" x14ac:dyDescent="0.25">
      <c r="A65" s="72" t="str">
        <f>IF('Teams &amp; HM'!A98="","",'Teams &amp; HM'!A98)</f>
        <v/>
      </c>
      <c r="B65" s="72" t="str">
        <f>IF('Teams &amp; HM'!H102="","",'Teams &amp; HM'!H102)</f>
        <v/>
      </c>
      <c r="C65" s="72" t="str">
        <f>IF('Teams &amp; HM'!A102="","",'Teams &amp; HM'!A102)</f>
        <v/>
      </c>
      <c r="D65" s="72" t="str">
        <f>IF('Teams &amp; HM'!B102="","",'Teams &amp; HM'!B102)</f>
        <v/>
      </c>
      <c r="F65" s="7"/>
      <c r="G65" s="7"/>
      <c r="H65" s="66"/>
      <c r="I65" s="7"/>
      <c r="J65" s="7"/>
      <c r="K65" s="7"/>
      <c r="L65" s="76" t="str">
        <f t="shared" si="0"/>
        <v/>
      </c>
      <c r="M65" s="109"/>
    </row>
    <row r="66" spans="1:13" x14ac:dyDescent="0.25">
      <c r="A66" s="72" t="str">
        <f>IF('Teams &amp; HM'!A98="","",'Teams &amp; HM'!A98)</f>
        <v/>
      </c>
      <c r="B66" s="72" t="str">
        <f>IF('Teams &amp; HM'!H103="","",'Teams &amp; HM'!H103)</f>
        <v/>
      </c>
      <c r="C66" s="72" t="str">
        <f>IF('Teams &amp; HM'!A103="","",'Teams &amp; HM'!A103)</f>
        <v/>
      </c>
      <c r="D66" s="72" t="str">
        <f>IF('Teams &amp; HM'!B103="","",'Teams &amp; HM'!B103)</f>
        <v/>
      </c>
      <c r="F66" s="7"/>
      <c r="G66" s="7"/>
      <c r="H66" s="66"/>
      <c r="I66" s="7"/>
      <c r="J66" s="7"/>
      <c r="K66" s="7"/>
      <c r="L66" s="76" t="str">
        <f t="shared" si="0"/>
        <v/>
      </c>
      <c r="M66" s="110"/>
    </row>
    <row r="67" spans="1:13" hidden="1" x14ac:dyDescent="0.25">
      <c r="A67" s="72" t="str">
        <f>IF('Teams &amp; HM'!A98="","",'Teams &amp; HM'!A98)</f>
        <v/>
      </c>
      <c r="B67" s="72" t="str">
        <f>IF('Teams &amp; HM'!H104="","",'Teams &amp; HM'!H104)</f>
        <v/>
      </c>
      <c r="C67" s="72" t="str">
        <f>IF('Teams &amp; HM'!A104="","",'Teams &amp; HM'!A104)</f>
        <v/>
      </c>
      <c r="D67" s="72" t="str">
        <f>IF('Teams &amp; HM'!B104="","",'Teams &amp; HM'!B104)</f>
        <v/>
      </c>
      <c r="F67" s="7"/>
      <c r="G67" s="7"/>
      <c r="H67" s="66"/>
      <c r="I67" s="7"/>
      <c r="J67" s="7"/>
      <c r="K67" s="7"/>
      <c r="L67" s="76" t="str">
        <f t="shared" si="0"/>
        <v/>
      </c>
      <c r="M67" s="75"/>
    </row>
    <row r="68" spans="1:13" x14ac:dyDescent="0.25">
      <c r="A68" s="72" t="str">
        <f>IF('Teams &amp; HM'!A106="","",'Teams &amp; HM'!A106)</f>
        <v/>
      </c>
      <c r="B68" s="72" t="str">
        <f>IF('Teams &amp; HM'!H108="","",'Teams &amp; HM'!H108)</f>
        <v/>
      </c>
      <c r="C68" s="72" t="str">
        <f>IF('Teams &amp; HM'!A108="","",'Teams &amp; HM'!A108)</f>
        <v/>
      </c>
      <c r="D68" s="72" t="str">
        <f>IF('Teams &amp; HM'!B108="","",'Teams &amp; HM'!B108)</f>
        <v/>
      </c>
      <c r="F68" s="7"/>
      <c r="G68" s="7"/>
      <c r="H68" s="66"/>
      <c r="I68" s="7"/>
      <c r="J68" s="7"/>
      <c r="K68" s="7"/>
      <c r="L68" s="76" t="str">
        <f t="shared" ref="L68:L82" si="1">IF(J68="","",(J68-K68))</f>
        <v/>
      </c>
      <c r="M68" s="108" t="str">
        <f>IF(L68="","",IF(COUNT(L68:L71)=4,(SUM(L68:L71)-MIN(L68:L71)),SUM(L68:L70)))</f>
        <v/>
      </c>
    </row>
    <row r="69" spans="1:13" x14ac:dyDescent="0.25">
      <c r="A69" s="72" t="str">
        <f>IF('Teams &amp; HM'!A106="","",'Teams &amp; HM'!A106)</f>
        <v/>
      </c>
      <c r="B69" s="72" t="str">
        <f>IF('Teams &amp; HM'!H109="","",'Teams &amp; HM'!H109)</f>
        <v/>
      </c>
      <c r="C69" s="72" t="str">
        <f>IF('Teams &amp; HM'!A109="","",'Teams &amp; HM'!A109)</f>
        <v/>
      </c>
      <c r="D69" s="72" t="str">
        <f>IF('Teams &amp; HM'!B109="","",'Teams &amp; HM'!B109)</f>
        <v/>
      </c>
      <c r="F69" s="7"/>
      <c r="G69" s="7"/>
      <c r="H69" s="66"/>
      <c r="I69" s="7"/>
      <c r="J69" s="7"/>
      <c r="K69" s="7"/>
      <c r="L69" s="76" t="str">
        <f t="shared" si="1"/>
        <v/>
      </c>
      <c r="M69" s="109"/>
    </row>
    <row r="70" spans="1:13" x14ac:dyDescent="0.25">
      <c r="A70" s="72" t="str">
        <f>IF('Teams &amp; HM'!A106="","",'Teams &amp; HM'!A106)</f>
        <v/>
      </c>
      <c r="B70" s="72" t="str">
        <f>IF('Teams &amp; HM'!H110="","",'Teams &amp; HM'!H110)</f>
        <v/>
      </c>
      <c r="C70" s="72" t="str">
        <f>IF('Teams &amp; HM'!A110="","",'Teams &amp; HM'!A110)</f>
        <v/>
      </c>
      <c r="D70" s="72" t="str">
        <f>IF('Teams &amp; HM'!B110="","",'Teams &amp; HM'!B110)</f>
        <v/>
      </c>
      <c r="F70" s="7"/>
      <c r="G70" s="7"/>
      <c r="H70" s="66"/>
      <c r="I70" s="7"/>
      <c r="J70" s="7"/>
      <c r="K70" s="7"/>
      <c r="L70" s="76" t="str">
        <f t="shared" si="1"/>
        <v/>
      </c>
      <c r="M70" s="109"/>
    </row>
    <row r="71" spans="1:13" x14ac:dyDescent="0.25">
      <c r="A71" s="72" t="str">
        <f>IF('Teams &amp; HM'!A106="","",'Teams &amp; HM'!A106)</f>
        <v/>
      </c>
      <c r="B71" s="72" t="str">
        <f>IF('Teams &amp; HM'!H111="","",'Teams &amp; HM'!H111)</f>
        <v/>
      </c>
      <c r="C71" s="72" t="str">
        <f>IF('Teams &amp; HM'!A111="","",'Teams &amp; HM'!A111)</f>
        <v/>
      </c>
      <c r="D71" s="72" t="str">
        <f>IF('Teams &amp; HM'!B111="","",'Teams &amp; HM'!B111)</f>
        <v/>
      </c>
      <c r="F71" s="7"/>
      <c r="G71" s="7"/>
      <c r="H71" s="66"/>
      <c r="I71" s="7"/>
      <c r="J71" s="7"/>
      <c r="K71" s="7"/>
      <c r="L71" s="76" t="str">
        <f t="shared" si="1"/>
        <v/>
      </c>
      <c r="M71" s="110"/>
    </row>
    <row r="72" spans="1:13" hidden="1" x14ac:dyDescent="0.25">
      <c r="A72" s="72" t="str">
        <f>IF('Teams &amp; HM'!A106="","",'Teams &amp; HM'!A106)</f>
        <v/>
      </c>
      <c r="B72" s="72" t="str">
        <f>IF('Teams &amp; HM'!H112="","",'Teams &amp; HM'!H112)</f>
        <v/>
      </c>
      <c r="C72" s="72" t="str">
        <f>IF('Teams &amp; HM'!A112="","",'Teams &amp; HM'!A112)</f>
        <v/>
      </c>
      <c r="D72" s="72" t="str">
        <f>IF('Teams &amp; HM'!B112="","",'Teams &amp; HM'!B112)</f>
        <v/>
      </c>
      <c r="F72" s="7"/>
      <c r="G72" s="7"/>
      <c r="H72" s="66"/>
      <c r="I72" s="7"/>
      <c r="J72" s="7"/>
      <c r="K72" s="7"/>
      <c r="L72" s="76" t="str">
        <f t="shared" si="1"/>
        <v/>
      </c>
      <c r="M72" s="75"/>
    </row>
    <row r="73" spans="1:13" x14ac:dyDescent="0.25">
      <c r="A73" s="72" t="str">
        <f>IF('Teams &amp; HM'!A114="","",'Teams &amp; HM'!A114)</f>
        <v/>
      </c>
      <c r="B73" s="72" t="str">
        <f>IF('Teams &amp; HM'!H116="","",'Teams &amp; HM'!H116)</f>
        <v/>
      </c>
      <c r="C73" s="72" t="str">
        <f>IF('Teams &amp; HM'!A116="","",'Teams &amp; HM'!A116)</f>
        <v/>
      </c>
      <c r="D73" s="72" t="str">
        <f>IF('Teams &amp; HM'!B116="","",'Teams &amp; HM'!B116)</f>
        <v/>
      </c>
      <c r="F73" s="7"/>
      <c r="G73" s="7"/>
      <c r="H73" s="66"/>
      <c r="I73" s="7"/>
      <c r="J73" s="7"/>
      <c r="K73" s="7"/>
      <c r="L73" s="76" t="str">
        <f t="shared" si="1"/>
        <v/>
      </c>
      <c r="M73" s="108" t="str">
        <f>IF(L73="","",IF(COUNT(L73:L76)=4,(SUM(L73:L76)-MIN(L73:L76)),SUM(L73:L75)))</f>
        <v/>
      </c>
    </row>
    <row r="74" spans="1:13" x14ac:dyDescent="0.25">
      <c r="A74" s="72" t="str">
        <f>IF('Teams &amp; HM'!A114="","",'Teams &amp; HM'!A114)</f>
        <v/>
      </c>
      <c r="B74" s="72" t="str">
        <f>IF('Teams &amp; HM'!H117="","",'Teams &amp; HM'!H117)</f>
        <v/>
      </c>
      <c r="C74" s="72" t="str">
        <f>IF('Teams &amp; HM'!A117="","",'Teams &amp; HM'!A117)</f>
        <v/>
      </c>
      <c r="D74" s="72" t="str">
        <f>IF('Teams &amp; HM'!B117="","",'Teams &amp; HM'!B117)</f>
        <v/>
      </c>
      <c r="F74" s="7"/>
      <c r="G74" s="7"/>
      <c r="H74" s="66"/>
      <c r="I74" s="7"/>
      <c r="J74" s="7"/>
      <c r="K74" s="7"/>
      <c r="L74" s="76" t="str">
        <f t="shared" si="1"/>
        <v/>
      </c>
      <c r="M74" s="109"/>
    </row>
    <row r="75" spans="1:13" x14ac:dyDescent="0.25">
      <c r="A75" s="72" t="str">
        <f>IF('Teams &amp; HM'!A114="","",'Teams &amp; HM'!A114)</f>
        <v/>
      </c>
      <c r="B75" s="72" t="str">
        <f>IF('Teams &amp; HM'!H118="","",'Teams &amp; HM'!H118)</f>
        <v/>
      </c>
      <c r="C75" s="72" t="str">
        <f>IF('Teams &amp; HM'!A118="","",'Teams &amp; HM'!A118)</f>
        <v/>
      </c>
      <c r="D75" s="72" t="str">
        <f>IF('Teams &amp; HM'!B118="","",'Teams &amp; HM'!B118)</f>
        <v/>
      </c>
      <c r="F75" s="7"/>
      <c r="G75" s="7"/>
      <c r="H75" s="66"/>
      <c r="I75" s="7"/>
      <c r="J75" s="7"/>
      <c r="K75" s="7"/>
      <c r="L75" s="76" t="str">
        <f t="shared" si="1"/>
        <v/>
      </c>
      <c r="M75" s="109"/>
    </row>
    <row r="76" spans="1:13" x14ac:dyDescent="0.25">
      <c r="A76" s="72" t="str">
        <f>IF('Teams &amp; HM'!A114="","",'Teams &amp; HM'!A114)</f>
        <v/>
      </c>
      <c r="B76" s="72" t="str">
        <f>IF('Teams &amp; HM'!H119="","",'Teams &amp; HM'!H119)</f>
        <v/>
      </c>
      <c r="C76" s="72" t="str">
        <f>IF('Teams &amp; HM'!A119="","",'Teams &amp; HM'!A119)</f>
        <v/>
      </c>
      <c r="D76" s="72" t="str">
        <f>IF('Teams &amp; HM'!B119="","",'Teams &amp; HM'!B119)</f>
        <v/>
      </c>
      <c r="F76" s="7"/>
      <c r="G76" s="7"/>
      <c r="H76" s="66"/>
      <c r="I76" s="7"/>
      <c r="J76" s="7"/>
      <c r="K76" s="7"/>
      <c r="L76" s="76" t="str">
        <f t="shared" si="1"/>
        <v/>
      </c>
      <c r="M76" s="110"/>
    </row>
    <row r="77" spans="1:13" hidden="1" x14ac:dyDescent="0.25">
      <c r="A77" s="72" t="str">
        <f>IF('Teams &amp; HM'!A114="","",'Teams &amp; HM'!A114)</f>
        <v/>
      </c>
      <c r="B77" s="72" t="str">
        <f>IF('Teams &amp; HM'!H120="","",'Teams &amp; HM'!H120)</f>
        <v/>
      </c>
      <c r="C77" s="72" t="str">
        <f>IF('Teams &amp; HM'!A120="","",'Teams &amp; HM'!A120)</f>
        <v/>
      </c>
      <c r="D77" s="72" t="str">
        <f>IF('Teams &amp; HM'!B120="","",'Teams &amp; HM'!B120)</f>
        <v/>
      </c>
      <c r="F77" s="7"/>
      <c r="G77" s="7"/>
      <c r="H77" s="66"/>
      <c r="I77" s="7"/>
      <c r="J77" s="7"/>
      <c r="K77" s="7"/>
      <c r="L77" s="76" t="str">
        <f t="shared" si="1"/>
        <v/>
      </c>
      <c r="M77" s="75"/>
    </row>
    <row r="78" spans="1:13" x14ac:dyDescent="0.25">
      <c r="A78" s="72" t="str">
        <f>IF('Teams &amp; HM'!A122="","",'Teams &amp; HM'!A122)</f>
        <v/>
      </c>
      <c r="B78" s="72" t="str">
        <f>IF('Teams &amp; HM'!H124="","",'Teams &amp; HM'!H124)</f>
        <v/>
      </c>
      <c r="C78" s="72" t="str">
        <f>IF('Teams &amp; HM'!A124="","",'Teams &amp; HM'!A124)</f>
        <v/>
      </c>
      <c r="D78" s="72" t="str">
        <f>IF('Teams &amp; HM'!B124="","",'Teams &amp; HM'!B124)</f>
        <v/>
      </c>
      <c r="F78" s="7"/>
      <c r="G78" s="7"/>
      <c r="H78" s="66"/>
      <c r="I78" s="7"/>
      <c r="J78" s="7"/>
      <c r="K78" s="7"/>
      <c r="L78" s="76" t="str">
        <f t="shared" si="1"/>
        <v/>
      </c>
      <c r="M78" s="108" t="str">
        <f>IF(L78="","",IF(COUNT(L78:L81)=4,(SUM(L78:L81)-MIN(L78:L81)),SUM(L78:L80)))</f>
        <v/>
      </c>
    </row>
    <row r="79" spans="1:13" x14ac:dyDescent="0.25">
      <c r="A79" s="72" t="str">
        <f>IF('Teams &amp; HM'!A122="","",'Teams &amp; HM'!A122)</f>
        <v/>
      </c>
      <c r="B79" s="72" t="str">
        <f>IF('Teams &amp; HM'!H125="","",'Teams &amp; HM'!H125)</f>
        <v/>
      </c>
      <c r="C79" s="72" t="str">
        <f>IF('Teams &amp; HM'!A125="","",'Teams &amp; HM'!A125)</f>
        <v/>
      </c>
      <c r="D79" s="72" t="str">
        <f>IF('Teams &amp; HM'!B125="","",'Teams &amp; HM'!B125)</f>
        <v/>
      </c>
      <c r="F79" s="7"/>
      <c r="G79" s="7"/>
      <c r="H79" s="66"/>
      <c r="I79" s="7"/>
      <c r="J79" s="7"/>
      <c r="K79" s="7"/>
      <c r="L79" s="76" t="str">
        <f t="shared" si="1"/>
        <v/>
      </c>
      <c r="M79" s="109"/>
    </row>
    <row r="80" spans="1:13" x14ac:dyDescent="0.25">
      <c r="A80" s="72" t="str">
        <f>IF('Teams &amp; HM'!A122="","",'Teams &amp; HM'!A122)</f>
        <v/>
      </c>
      <c r="B80" s="72" t="str">
        <f>IF('Teams &amp; HM'!H126="","",'Teams &amp; HM'!H126)</f>
        <v/>
      </c>
      <c r="C80" s="72" t="str">
        <f>IF('Teams &amp; HM'!A126="","",'Teams &amp; HM'!A126)</f>
        <v/>
      </c>
      <c r="D80" s="72" t="str">
        <f>IF('Teams &amp; HM'!B126="","",'Teams &amp; HM'!B126)</f>
        <v/>
      </c>
      <c r="F80" s="7"/>
      <c r="G80" s="7"/>
      <c r="H80" s="66"/>
      <c r="I80" s="7"/>
      <c r="J80" s="7"/>
      <c r="K80" s="7"/>
      <c r="L80" s="76" t="str">
        <f t="shared" si="1"/>
        <v/>
      </c>
      <c r="M80" s="109"/>
    </row>
    <row r="81" spans="1:13" x14ac:dyDescent="0.25">
      <c r="A81" s="72" t="str">
        <f>IF('Teams &amp; HM'!A122="","",'Teams &amp; HM'!A122)</f>
        <v/>
      </c>
      <c r="B81" s="72" t="str">
        <f>IF('Teams &amp; HM'!H127="","",'Teams &amp; HM'!H127)</f>
        <v/>
      </c>
      <c r="C81" s="72" t="str">
        <f>IF('Teams &amp; HM'!A127="","",'Teams &amp; HM'!A127)</f>
        <v/>
      </c>
      <c r="D81" s="72" t="str">
        <f>IF('Teams &amp; HM'!B127="","",'Teams &amp; HM'!B127)</f>
        <v/>
      </c>
      <c r="F81" s="7"/>
      <c r="G81" s="7"/>
      <c r="H81" s="66"/>
      <c r="I81" s="7"/>
      <c r="J81" s="7"/>
      <c r="K81" s="7"/>
      <c r="L81" s="76" t="str">
        <f t="shared" si="1"/>
        <v/>
      </c>
      <c r="M81" s="110"/>
    </row>
    <row r="82" spans="1:13" hidden="1" x14ac:dyDescent="0.25">
      <c r="A82" s="72" t="str">
        <f>IF('Teams &amp; HM'!A122="","",'Teams &amp; HM'!A122)</f>
        <v/>
      </c>
      <c r="B82" s="72" t="str">
        <f>IF('Teams &amp; HM'!H128="","",'Teams &amp; HM'!H128)</f>
        <v/>
      </c>
      <c r="C82" s="72" t="str">
        <f>IF('Teams &amp; HM'!A128="","",'Teams &amp; HM'!A128)</f>
        <v/>
      </c>
      <c r="D82" s="72" t="str">
        <f>IF('Teams &amp; HM'!B128="","",'Teams &amp; HM'!B128)</f>
        <v/>
      </c>
      <c r="F82" s="7"/>
      <c r="G82" s="7"/>
      <c r="H82" s="66"/>
      <c r="I82" s="7"/>
      <c r="J82" s="7"/>
      <c r="K82" s="7"/>
      <c r="L82" s="76" t="str">
        <f t="shared" si="1"/>
        <v/>
      </c>
      <c r="M82" s="75"/>
    </row>
    <row r="83" spans="1:13" x14ac:dyDescent="0.25">
      <c r="A83" s="72" t="str">
        <f>IF('Teams &amp; HM'!A130="","",'Teams &amp; HM'!A130)</f>
        <v/>
      </c>
      <c r="B83" s="72" t="str">
        <f>IF('Teams &amp; HM'!H132="","",'Teams &amp; HM'!H132)</f>
        <v/>
      </c>
      <c r="C83" s="72" t="str">
        <f>IF('Teams &amp; HM'!A132="","",'Teams &amp; HM'!A132)</f>
        <v/>
      </c>
      <c r="D83" s="72" t="str">
        <f>IF('Teams &amp; HM'!B132="","",'Teams &amp; HM'!B132)</f>
        <v/>
      </c>
      <c r="F83" s="7"/>
      <c r="G83" s="7"/>
      <c r="H83" s="66"/>
      <c r="I83" s="7"/>
      <c r="J83" s="7"/>
      <c r="K83" s="7"/>
      <c r="L83" s="76" t="str">
        <f t="shared" ref="L83:L102" si="2">IF(J83="","",(J83-K83))</f>
        <v/>
      </c>
      <c r="M83" s="108" t="str">
        <f>IF(L83="","",IF(COUNT(L83:L86)=4,(SUM(L83:L86)-MIN(L83:L86)),SUM(L83:L85)))</f>
        <v/>
      </c>
    </row>
    <row r="84" spans="1:13" x14ac:dyDescent="0.25">
      <c r="A84" s="72" t="str">
        <f>IF('Teams &amp; HM'!A130="","",'Teams &amp; HM'!A130)</f>
        <v/>
      </c>
      <c r="B84" s="72" t="str">
        <f>IF('Teams &amp; HM'!H133="","",'Teams &amp; HM'!H133)</f>
        <v/>
      </c>
      <c r="C84" s="72" t="str">
        <f>IF('Teams &amp; HM'!A133="","",'Teams &amp; HM'!A133)</f>
        <v/>
      </c>
      <c r="D84" s="72" t="str">
        <f>IF('Teams &amp; HM'!B133="","",'Teams &amp; HM'!B133)</f>
        <v/>
      </c>
      <c r="F84" s="7"/>
      <c r="G84" s="7"/>
      <c r="H84" s="66"/>
      <c r="I84" s="7"/>
      <c r="J84" s="7"/>
      <c r="K84" s="7"/>
      <c r="L84" s="76" t="str">
        <f t="shared" si="2"/>
        <v/>
      </c>
      <c r="M84" s="109"/>
    </row>
    <row r="85" spans="1:13" x14ac:dyDescent="0.25">
      <c r="A85" s="72" t="str">
        <f>IF('Teams &amp; HM'!A130="","",'Teams &amp; HM'!A130)</f>
        <v/>
      </c>
      <c r="B85" s="72" t="str">
        <f>IF('Teams &amp; HM'!H134="","",'Teams &amp; HM'!H134)</f>
        <v/>
      </c>
      <c r="C85" s="72" t="str">
        <f>IF('Teams &amp; HM'!A134="","",'Teams &amp; HM'!A134)</f>
        <v/>
      </c>
      <c r="D85" s="72" t="str">
        <f>IF('Teams &amp; HM'!B134="","",'Teams &amp; HM'!B134)</f>
        <v/>
      </c>
      <c r="F85" s="7"/>
      <c r="G85" s="7"/>
      <c r="H85" s="66"/>
      <c r="I85" s="7"/>
      <c r="J85" s="7"/>
      <c r="K85" s="7"/>
      <c r="L85" s="76" t="str">
        <f t="shared" si="2"/>
        <v/>
      </c>
      <c r="M85" s="109"/>
    </row>
    <row r="86" spans="1:13" x14ac:dyDescent="0.25">
      <c r="A86" s="72" t="str">
        <f>IF('Teams &amp; HM'!A130="","",'Teams &amp; HM'!A130)</f>
        <v/>
      </c>
      <c r="B86" s="72" t="str">
        <f>IF('Teams &amp; HM'!H135="","",'Teams &amp; HM'!H135)</f>
        <v/>
      </c>
      <c r="C86" s="72" t="str">
        <f>IF('Teams &amp; HM'!A135="","",'Teams &amp; HM'!A135)</f>
        <v/>
      </c>
      <c r="D86" s="72" t="str">
        <f>IF('Teams &amp; HM'!B135="","",'Teams &amp; HM'!B135)</f>
        <v/>
      </c>
      <c r="F86" s="7"/>
      <c r="G86" s="7"/>
      <c r="H86" s="66"/>
      <c r="I86" s="7"/>
      <c r="J86" s="7"/>
      <c r="K86" s="7"/>
      <c r="L86" s="76" t="str">
        <f t="shared" si="2"/>
        <v/>
      </c>
      <c r="M86" s="110"/>
    </row>
    <row r="87" spans="1:13" hidden="1" x14ac:dyDescent="0.25">
      <c r="A87" s="72" t="str">
        <f>IF('Teams &amp; HM'!A130="","",'Teams &amp; HM'!A130)</f>
        <v/>
      </c>
      <c r="B87" s="72" t="str">
        <f>IF('Teams &amp; HM'!H136="","",'Teams &amp; HM'!H136)</f>
        <v/>
      </c>
      <c r="C87" s="72" t="str">
        <f>IF('Teams &amp; HM'!A136="","",'Teams &amp; HM'!A136)</f>
        <v/>
      </c>
      <c r="D87" s="72" t="str">
        <f>IF('Teams &amp; HM'!B136="","",'Teams &amp; HM'!B136)</f>
        <v/>
      </c>
      <c r="F87" s="7"/>
      <c r="G87" s="7"/>
      <c r="H87" s="66"/>
      <c r="I87" s="7"/>
      <c r="J87" s="7"/>
      <c r="K87" s="7"/>
      <c r="L87" s="76" t="str">
        <f t="shared" si="2"/>
        <v/>
      </c>
      <c r="M87" s="75"/>
    </row>
    <row r="88" spans="1:13" x14ac:dyDescent="0.25">
      <c r="A88" s="72" t="str">
        <f>IF('Teams &amp; HM'!A138="","",'Teams &amp; HM'!A138)</f>
        <v/>
      </c>
      <c r="B88" s="72" t="str">
        <f>IF('Teams &amp; HM'!H140="","",'Teams &amp; HM'!H140)</f>
        <v/>
      </c>
      <c r="C88" s="72" t="str">
        <f>IF('Teams &amp; HM'!A140="","",'Teams &amp; HM'!A140)</f>
        <v/>
      </c>
      <c r="D88" s="72" t="str">
        <f>IF('Teams &amp; HM'!B140="","",'Teams &amp; HM'!B140)</f>
        <v/>
      </c>
      <c r="F88" s="7"/>
      <c r="G88" s="7"/>
      <c r="H88" s="66"/>
      <c r="I88" s="7"/>
      <c r="J88" s="7"/>
      <c r="K88" s="7"/>
      <c r="L88" s="76" t="str">
        <f t="shared" si="2"/>
        <v/>
      </c>
      <c r="M88" s="108" t="str">
        <f>IF(L88="","",IF(COUNT(L88:L91)=4,(SUM(L88:L91)-MIN(L88:L91)),SUM(L88:L90)))</f>
        <v/>
      </c>
    </row>
    <row r="89" spans="1:13" x14ac:dyDescent="0.25">
      <c r="A89" s="72" t="str">
        <f>IF('Teams &amp; HM'!A138="","",'Teams &amp; HM'!A138)</f>
        <v/>
      </c>
      <c r="B89" s="72" t="str">
        <f>IF('Teams &amp; HM'!H141="","",'Teams &amp; HM'!H141)</f>
        <v/>
      </c>
      <c r="C89" s="72" t="str">
        <f>IF('Teams &amp; HM'!A141="","",'Teams &amp; HM'!A141)</f>
        <v/>
      </c>
      <c r="D89" s="72" t="str">
        <f>IF('Teams &amp; HM'!B141="","",'Teams &amp; HM'!B141)</f>
        <v/>
      </c>
      <c r="F89" s="7"/>
      <c r="G89" s="7"/>
      <c r="H89" s="66"/>
      <c r="I89" s="7"/>
      <c r="J89" s="7"/>
      <c r="K89" s="7"/>
      <c r="L89" s="76" t="str">
        <f t="shared" si="2"/>
        <v/>
      </c>
      <c r="M89" s="109"/>
    </row>
    <row r="90" spans="1:13" x14ac:dyDescent="0.25">
      <c r="A90" s="72" t="str">
        <f>IF('Teams &amp; HM'!A138="","",'Teams &amp; HM'!A138)</f>
        <v/>
      </c>
      <c r="B90" s="72" t="str">
        <f>IF('Teams &amp; HM'!H142="","",'Teams &amp; HM'!H142)</f>
        <v/>
      </c>
      <c r="C90" s="72" t="str">
        <f>IF('Teams &amp; HM'!A142="","",'Teams &amp; HM'!A142)</f>
        <v/>
      </c>
      <c r="D90" s="72" t="str">
        <f>IF('Teams &amp; HM'!B142="","",'Teams &amp; HM'!B142)</f>
        <v/>
      </c>
      <c r="F90" s="7"/>
      <c r="G90" s="7"/>
      <c r="H90" s="66"/>
      <c r="I90" s="7"/>
      <c r="J90" s="7"/>
      <c r="K90" s="7"/>
      <c r="L90" s="76" t="str">
        <f t="shared" si="2"/>
        <v/>
      </c>
      <c r="M90" s="109"/>
    </row>
    <row r="91" spans="1:13" x14ac:dyDescent="0.25">
      <c r="A91" s="72" t="str">
        <f>IF('Teams &amp; HM'!A138="","",'Teams &amp; HM'!A138)</f>
        <v/>
      </c>
      <c r="B91" s="72" t="str">
        <f>IF('Teams &amp; HM'!H143="","",'Teams &amp; HM'!H143)</f>
        <v/>
      </c>
      <c r="C91" s="72" t="str">
        <f>IF('Teams &amp; HM'!A143="","",'Teams &amp; HM'!A143)</f>
        <v/>
      </c>
      <c r="D91" s="72" t="str">
        <f>IF('Teams &amp; HM'!B143="","",'Teams &amp; HM'!B143)</f>
        <v/>
      </c>
      <c r="F91" s="7"/>
      <c r="G91" s="7"/>
      <c r="H91" s="66"/>
      <c r="I91" s="7"/>
      <c r="J91" s="7"/>
      <c r="K91" s="7"/>
      <c r="L91" s="76" t="str">
        <f t="shared" si="2"/>
        <v/>
      </c>
      <c r="M91" s="110"/>
    </row>
    <row r="92" spans="1:13" hidden="1" x14ac:dyDescent="0.25">
      <c r="A92" s="72" t="str">
        <f>IF('Teams &amp; HM'!A138="","",'Teams &amp; HM'!A138)</f>
        <v/>
      </c>
      <c r="B92" s="72" t="str">
        <f>IF('Teams &amp; HM'!H144="","",'Teams &amp; HM'!H144)</f>
        <v/>
      </c>
      <c r="C92" s="72" t="str">
        <f>IF('Teams &amp; HM'!A144="","",'Teams &amp; HM'!A144)</f>
        <v/>
      </c>
      <c r="D92" s="72" t="str">
        <f>IF('Teams &amp; HM'!B144="","",'Teams &amp; HM'!B144)</f>
        <v/>
      </c>
      <c r="F92" s="7"/>
      <c r="G92" s="7"/>
      <c r="H92" s="66"/>
      <c r="I92" s="7"/>
      <c r="J92" s="7"/>
      <c r="K92" s="7"/>
      <c r="L92" s="76" t="str">
        <f t="shared" si="2"/>
        <v/>
      </c>
      <c r="M92" s="75"/>
    </row>
    <row r="93" spans="1:13" x14ac:dyDescent="0.25">
      <c r="A93" s="72" t="str">
        <f>IF('Teams &amp; HM'!A146="","",'Teams &amp; HM'!A146)</f>
        <v/>
      </c>
      <c r="B93" s="72" t="str">
        <f>IF('Teams &amp; HM'!H148="","",'Teams &amp; HM'!H148)</f>
        <v/>
      </c>
      <c r="C93" s="72" t="str">
        <f>IF('Teams &amp; HM'!A148="","",'Teams &amp; HM'!A148)</f>
        <v/>
      </c>
      <c r="D93" s="72" t="str">
        <f>IF('Teams &amp; HM'!B148="","",'Teams &amp; HM'!B148)</f>
        <v/>
      </c>
      <c r="F93" s="7"/>
      <c r="G93" s="7"/>
      <c r="H93" s="66"/>
      <c r="I93" s="7"/>
      <c r="J93" s="7"/>
      <c r="K93" s="7"/>
      <c r="L93" s="76" t="str">
        <f t="shared" si="2"/>
        <v/>
      </c>
      <c r="M93" s="108" t="str">
        <f>IF(L93="","",IF(COUNT(L93:L96)=4,(SUM(L93:L96)-MIN(L93:L96)),SUM(L93:L95)))</f>
        <v/>
      </c>
    </row>
    <row r="94" spans="1:13" x14ac:dyDescent="0.25">
      <c r="A94" s="72" t="str">
        <f>IF('Teams &amp; HM'!A146="","",'Teams &amp; HM'!A146)</f>
        <v/>
      </c>
      <c r="B94" s="72" t="str">
        <f>IF('Teams &amp; HM'!H149="","",'Teams &amp; HM'!H149)</f>
        <v/>
      </c>
      <c r="C94" s="72" t="str">
        <f>IF('Teams &amp; HM'!A149="","",'Teams &amp; HM'!A149)</f>
        <v/>
      </c>
      <c r="D94" s="72" t="str">
        <f>IF('Teams &amp; HM'!B149="","",'Teams &amp; HM'!B149)</f>
        <v/>
      </c>
      <c r="F94" s="7"/>
      <c r="G94" s="7"/>
      <c r="H94" s="66"/>
      <c r="I94" s="7"/>
      <c r="J94" s="7"/>
      <c r="K94" s="7"/>
      <c r="L94" s="76" t="str">
        <f t="shared" si="2"/>
        <v/>
      </c>
      <c r="M94" s="109"/>
    </row>
    <row r="95" spans="1:13" x14ac:dyDescent="0.25">
      <c r="A95" s="72" t="str">
        <f>IF('Teams &amp; HM'!A146="","",'Teams &amp; HM'!A146)</f>
        <v/>
      </c>
      <c r="B95" s="72" t="str">
        <f>IF('Teams &amp; HM'!H150="","",'Teams &amp; HM'!H150)</f>
        <v/>
      </c>
      <c r="C95" s="72" t="str">
        <f>IF('Teams &amp; HM'!A150="","",'Teams &amp; HM'!A150)</f>
        <v/>
      </c>
      <c r="D95" s="72" t="str">
        <f>IF('Teams &amp; HM'!B150="","",'Teams &amp; HM'!B150)</f>
        <v/>
      </c>
      <c r="F95" s="7"/>
      <c r="G95" s="7"/>
      <c r="H95" s="66"/>
      <c r="I95" s="7"/>
      <c r="J95" s="7"/>
      <c r="K95" s="7"/>
      <c r="L95" s="76" t="str">
        <f t="shared" si="2"/>
        <v/>
      </c>
      <c r="M95" s="109"/>
    </row>
    <row r="96" spans="1:13" x14ac:dyDescent="0.25">
      <c r="A96" s="72" t="str">
        <f>IF('Teams &amp; HM'!A146="","",'Teams &amp; HM'!A146)</f>
        <v/>
      </c>
      <c r="B96" s="72" t="str">
        <f>IF('Teams &amp; HM'!H151="","",'Teams &amp; HM'!H151)</f>
        <v/>
      </c>
      <c r="C96" s="72" t="str">
        <f>IF('Teams &amp; HM'!A151="","",'Teams &amp; HM'!A151)</f>
        <v/>
      </c>
      <c r="D96" s="72" t="str">
        <f>IF('Teams &amp; HM'!B151="","",'Teams &amp; HM'!B151)</f>
        <v/>
      </c>
      <c r="F96" s="7"/>
      <c r="G96" s="7"/>
      <c r="H96" s="66"/>
      <c r="I96" s="7"/>
      <c r="J96" s="7"/>
      <c r="K96" s="7"/>
      <c r="L96" s="76" t="str">
        <f t="shared" si="2"/>
        <v/>
      </c>
      <c r="M96" s="110"/>
    </row>
    <row r="97" spans="1:13" hidden="1" x14ac:dyDescent="0.25">
      <c r="A97" s="72" t="str">
        <f>IF('Teams &amp; HM'!A146="","",'Teams &amp; HM'!A146)</f>
        <v/>
      </c>
      <c r="B97" s="72" t="str">
        <f>IF('Teams &amp; HM'!H152="","",'Teams &amp; HM'!H152)</f>
        <v/>
      </c>
      <c r="C97" s="72" t="str">
        <f>IF('Teams &amp; HM'!A152="","",'Teams &amp; HM'!A152)</f>
        <v/>
      </c>
      <c r="D97" s="72" t="str">
        <f>IF('Teams &amp; HM'!B152="","",'Teams &amp; HM'!B152)</f>
        <v/>
      </c>
      <c r="F97" s="7"/>
      <c r="G97" s="7"/>
      <c r="H97" s="66"/>
      <c r="I97" s="7"/>
      <c r="J97" s="7"/>
      <c r="K97" s="7"/>
      <c r="L97" s="76" t="str">
        <f t="shared" si="2"/>
        <v/>
      </c>
      <c r="M97" s="75"/>
    </row>
    <row r="98" spans="1:13" x14ac:dyDescent="0.25">
      <c r="A98" s="72" t="str">
        <f>IF('Teams &amp; HM'!A154="","",'Teams &amp; HM'!A154)</f>
        <v/>
      </c>
      <c r="B98" s="72" t="str">
        <f>IF('Teams &amp; HM'!H156="","",'Teams &amp; HM'!H156)</f>
        <v/>
      </c>
      <c r="C98" s="72" t="str">
        <f>IF('Teams &amp; HM'!A156="","",'Teams &amp; HM'!A156)</f>
        <v/>
      </c>
      <c r="D98" s="72" t="str">
        <f>IF('Teams &amp; HM'!B156="","",'Teams &amp; HM'!B156)</f>
        <v/>
      </c>
      <c r="F98" s="7"/>
      <c r="G98" s="7"/>
      <c r="H98" s="66"/>
      <c r="I98" s="7"/>
      <c r="J98" s="7"/>
      <c r="K98" s="7"/>
      <c r="L98" s="76" t="str">
        <f t="shared" si="2"/>
        <v/>
      </c>
      <c r="M98" s="108" t="str">
        <f>IF(L98="","",IF(COUNT(L98:L101)=4,(SUM(L98:L101)-MIN(L98:L101)),SUM(L98:L100)))</f>
        <v/>
      </c>
    </row>
    <row r="99" spans="1:13" x14ac:dyDescent="0.25">
      <c r="A99" s="72" t="str">
        <f>IF('Teams &amp; HM'!A154="","",'Teams &amp; HM'!A154)</f>
        <v/>
      </c>
      <c r="B99" s="72" t="str">
        <f>IF('Teams &amp; HM'!H157="","",'Teams &amp; HM'!H157)</f>
        <v/>
      </c>
      <c r="C99" s="72" t="str">
        <f>IF('Teams &amp; HM'!A157="","",'Teams &amp; HM'!A157)</f>
        <v/>
      </c>
      <c r="D99" s="72" t="str">
        <f>IF('Teams &amp; HM'!B157="","",'Teams &amp; HM'!B157)</f>
        <v/>
      </c>
      <c r="F99" s="7"/>
      <c r="G99" s="7"/>
      <c r="H99" s="66"/>
      <c r="I99" s="7"/>
      <c r="J99" s="7"/>
      <c r="K99" s="7"/>
      <c r="L99" s="76" t="str">
        <f t="shared" si="2"/>
        <v/>
      </c>
      <c r="M99" s="109"/>
    </row>
    <row r="100" spans="1:13" x14ac:dyDescent="0.25">
      <c r="A100" s="72" t="str">
        <f>IF('Teams &amp; HM'!A154="","",'Teams &amp; HM'!A154)</f>
        <v/>
      </c>
      <c r="B100" s="72" t="str">
        <f>IF('Teams &amp; HM'!H158="","",'Teams &amp; HM'!H158)</f>
        <v/>
      </c>
      <c r="C100" s="72" t="str">
        <f>IF('Teams &amp; HM'!A158="","",'Teams &amp; HM'!A158)</f>
        <v/>
      </c>
      <c r="D100" s="72" t="str">
        <f>IF('Teams &amp; HM'!B158="","",'Teams &amp; HM'!B158)</f>
        <v/>
      </c>
      <c r="F100" s="7"/>
      <c r="G100" s="7"/>
      <c r="H100" s="66"/>
      <c r="I100" s="7"/>
      <c r="J100" s="7"/>
      <c r="K100" s="7"/>
      <c r="L100" s="76" t="str">
        <f t="shared" si="2"/>
        <v/>
      </c>
      <c r="M100" s="109"/>
    </row>
    <row r="101" spans="1:13" x14ac:dyDescent="0.25">
      <c r="A101" s="72" t="str">
        <f>IF('Teams &amp; HM'!A154="","",'Teams &amp; HM'!A154)</f>
        <v/>
      </c>
      <c r="B101" s="72" t="str">
        <f>IF('Teams &amp; HM'!H159="","",'Teams &amp; HM'!H159)</f>
        <v/>
      </c>
      <c r="C101" s="72" t="str">
        <f>IF('Teams &amp; HM'!A159="","",'Teams &amp; HM'!A159)</f>
        <v/>
      </c>
      <c r="D101" s="72" t="str">
        <f>IF('Teams &amp; HM'!B159="","",'Teams &amp; HM'!B159)</f>
        <v/>
      </c>
      <c r="F101" s="7"/>
      <c r="G101" s="7"/>
      <c r="H101" s="66"/>
      <c r="I101" s="7"/>
      <c r="J101" s="7"/>
      <c r="K101" s="7"/>
      <c r="L101" s="76" t="str">
        <f t="shared" si="2"/>
        <v/>
      </c>
      <c r="M101" s="110"/>
    </row>
    <row r="102" spans="1:13" hidden="1" x14ac:dyDescent="0.25">
      <c r="A102" s="51" t="str">
        <f>IF('Teams &amp; HM'!A154="","",'Teams &amp; HM'!A154)</f>
        <v/>
      </c>
      <c r="B102" s="51" t="str">
        <f>IF('Teams &amp; HM'!H160="","",'Teams &amp; HM'!H160)</f>
        <v/>
      </c>
      <c r="C102" s="51" t="str">
        <f>IF('Teams &amp; HM'!A160="","",'Teams &amp; HM'!A160)</f>
        <v/>
      </c>
      <c r="D102" s="51" t="str">
        <f>IF('Teams &amp; HM'!B160="","",'Teams &amp; HM'!B160)</f>
        <v/>
      </c>
      <c r="F102" s="7"/>
      <c r="G102" s="7"/>
      <c r="H102" s="14"/>
      <c r="I102" s="7"/>
      <c r="J102" s="7"/>
      <c r="K102" s="32"/>
      <c r="L102" s="42" t="str">
        <f t="shared" si="2"/>
        <v/>
      </c>
    </row>
  </sheetData>
  <sheetProtection algorithmName="SHA-512" hashValue="kuUUbeMTbGxQOXmvDDgg6IjYbJBcpzdIhQWKBnbhZRGIb8YOab/0Bv/IJeLNbBIJORFH2K+uYukGrxKwPPXBvw==" saltValue="YFXWNwMHVXwpWSpx6R6W5A==" spinCount="100000" sheet="1" objects="1" scenarios="1"/>
  <mergeCells count="22">
    <mergeCell ref="A1:D1"/>
    <mergeCell ref="F1:M1"/>
    <mergeCell ref="M3:M6"/>
    <mergeCell ref="M8:M11"/>
    <mergeCell ref="M13:M16"/>
    <mergeCell ref="M18:M21"/>
    <mergeCell ref="M23:M26"/>
    <mergeCell ref="M28:M31"/>
    <mergeCell ref="M33:M36"/>
    <mergeCell ref="M38:M41"/>
    <mergeCell ref="M43:M46"/>
    <mergeCell ref="M48:M51"/>
    <mergeCell ref="M53:M56"/>
    <mergeCell ref="M58:M61"/>
    <mergeCell ref="M88:M91"/>
    <mergeCell ref="M93:M96"/>
    <mergeCell ref="M98:M101"/>
    <mergeCell ref="M63:M66"/>
    <mergeCell ref="M68:M71"/>
    <mergeCell ref="M73:M76"/>
    <mergeCell ref="M78:M81"/>
    <mergeCell ref="M83:M86"/>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'Instructions &amp; Reference'!$K$201:$K$202</xm:f>
          </x14:formula1>
          <xm:sqref>F3:F102</xm:sqref>
        </x14:dataValidation>
        <x14:dataValidation type="list" allowBlank="1" showInputMessage="1" showErrorMessage="1" xr:uid="{00000000-0002-0000-0300-000001000000}">
          <x14:formula1>
            <xm:f>'Instructions &amp; Reference'!$C$6:$C$17</xm:f>
          </x14:formula1>
          <xm:sqref>G3:G102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103"/>
  <sheetViews>
    <sheetView workbookViewId="0">
      <selection activeCell="H19" sqref="H19"/>
    </sheetView>
  </sheetViews>
  <sheetFormatPr defaultRowHeight="15" x14ac:dyDescent="0.25"/>
  <cols>
    <col min="1" max="1" width="9.140625" style="11"/>
    <col min="2" max="2" width="20" style="11" bestFit="1" customWidth="1"/>
    <col min="3" max="3" width="4.85546875" style="11" customWidth="1"/>
    <col min="4" max="4" width="20.85546875" style="11" customWidth="1"/>
    <col min="5" max="5" width="2.5703125" style="11" customWidth="1"/>
    <col min="6" max="6" width="15.42578125" style="11" hidden="1" customWidth="1"/>
    <col min="7" max="7" width="20" style="11" hidden="1" customWidth="1"/>
    <col min="8" max="8" width="12.5703125" style="11" customWidth="1"/>
    <col min="9" max="9" width="17.42578125" style="11" customWidth="1"/>
    <col min="10" max="10" width="12.7109375" style="11" bestFit="1" customWidth="1"/>
    <col min="11" max="11" width="12" style="11" customWidth="1"/>
    <col min="12" max="16384" width="9.140625" style="6"/>
  </cols>
  <sheetData>
    <row r="1" spans="1:11" ht="25.5" customHeight="1" x14ac:dyDescent="0.25">
      <c r="A1" s="112" t="str">
        <f>IF('Teams &amp; HM'!A1="","",'Teams &amp; HM'!A1)</f>
        <v/>
      </c>
      <c r="B1" s="113"/>
      <c r="C1" s="113"/>
      <c r="D1" s="114"/>
      <c r="E1" s="23"/>
      <c r="F1" s="117" t="s">
        <v>98</v>
      </c>
      <c r="G1" s="118"/>
      <c r="H1" s="118"/>
      <c r="I1" s="118"/>
      <c r="J1" s="118"/>
      <c r="K1" s="119"/>
    </row>
    <row r="2" spans="1:11" x14ac:dyDescent="0.25">
      <c r="A2" s="69" t="s">
        <v>80</v>
      </c>
      <c r="B2" s="69" t="s">
        <v>61</v>
      </c>
      <c r="C2" s="69" t="s">
        <v>55</v>
      </c>
      <c r="D2" s="69" t="s">
        <v>81</v>
      </c>
      <c r="E2" s="26"/>
      <c r="F2" s="27" t="s">
        <v>99</v>
      </c>
      <c r="G2" s="27" t="s">
        <v>100</v>
      </c>
      <c r="H2" s="27" t="s">
        <v>96</v>
      </c>
      <c r="I2" s="38" t="s">
        <v>101</v>
      </c>
      <c r="J2" s="27" t="s">
        <v>69</v>
      </c>
      <c r="K2" s="27" t="s">
        <v>102</v>
      </c>
    </row>
    <row r="3" spans="1:11" x14ac:dyDescent="0.25">
      <c r="A3" s="72" t="str">
        <f>IF('Teams &amp; HM'!A2="","",'Teams &amp; HM'!A2)</f>
        <v/>
      </c>
      <c r="B3" s="72" t="str">
        <f>IF('Teams &amp; HM'!H4="","",'Teams &amp; HM'!H4)</f>
        <v/>
      </c>
      <c r="C3" s="72" t="str">
        <f>IF('Teams &amp; HM'!A4="","",'Teams &amp; HM'!A4)</f>
        <v/>
      </c>
      <c r="D3" s="72" t="str">
        <f>IF('Teams &amp; HM'!B4="","",'Teams &amp; HM'!B4)</f>
        <v/>
      </c>
      <c r="F3" s="7" t="s">
        <v>24</v>
      </c>
      <c r="G3" s="7" t="s">
        <v>4</v>
      </c>
      <c r="H3" s="7"/>
      <c r="I3" s="7"/>
      <c r="J3" s="77" t="str">
        <f>IF(H3="","",(H3-I3))</f>
        <v/>
      </c>
      <c r="K3" s="108" t="str">
        <f>IF(J3="","",IF(COUNT(J3:J6)=4,(SUM(J3:J6)-MIN(J3:J6)),SUM(J3:J5)))</f>
        <v/>
      </c>
    </row>
    <row r="4" spans="1:11" x14ac:dyDescent="0.25">
      <c r="A4" s="72" t="str">
        <f>IF('Teams &amp; HM'!A2="","",'Teams &amp; HM'!A2)</f>
        <v/>
      </c>
      <c r="B4" s="72" t="str">
        <f>IF('Teams &amp; HM'!H5="","",'Teams &amp; HM'!H5)</f>
        <v/>
      </c>
      <c r="C4" s="72" t="str">
        <f>IF('Teams &amp; HM'!A5="","",'Teams &amp; HM'!A5)</f>
        <v/>
      </c>
      <c r="D4" s="72" t="str">
        <f>IF('Teams &amp; HM'!B5="","",'Teams &amp; HM'!B5)</f>
        <v/>
      </c>
      <c r="F4" s="7" t="s">
        <v>21</v>
      </c>
      <c r="G4" s="7" t="s">
        <v>3</v>
      </c>
      <c r="H4" s="7"/>
      <c r="I4" s="7"/>
      <c r="J4" s="77" t="str">
        <f t="shared" ref="J4:J67" si="0">IF(H4="","",(H4-I4))</f>
        <v/>
      </c>
      <c r="K4" s="109"/>
    </row>
    <row r="5" spans="1:11" x14ac:dyDescent="0.25">
      <c r="A5" s="72" t="str">
        <f>IF('Teams &amp; HM'!A2="","",'Teams &amp; HM'!A2)</f>
        <v/>
      </c>
      <c r="B5" s="72" t="str">
        <f>IF('Teams &amp; HM'!H6="","",'Teams &amp; HM'!H6)</f>
        <v/>
      </c>
      <c r="C5" s="72" t="str">
        <f>IF('Teams &amp; HM'!A6="","",'Teams &amp; HM'!A6)</f>
        <v/>
      </c>
      <c r="D5" s="72" t="str">
        <f>IF('Teams &amp; HM'!B6="","",'Teams &amp; HM'!B6)</f>
        <v/>
      </c>
      <c r="F5" s="7" t="s">
        <v>24</v>
      </c>
      <c r="G5" s="7" t="s">
        <v>7</v>
      </c>
      <c r="H5" s="7"/>
      <c r="I5" s="7"/>
      <c r="J5" s="77" t="str">
        <f t="shared" si="0"/>
        <v/>
      </c>
      <c r="K5" s="109"/>
    </row>
    <row r="6" spans="1:11" x14ac:dyDescent="0.25">
      <c r="A6" s="72" t="str">
        <f>IF('Teams &amp; HM'!A2="","",'Teams &amp; HM'!A2)</f>
        <v/>
      </c>
      <c r="B6" s="72" t="str">
        <f>IF('Teams &amp; HM'!H7="","",'Teams &amp; HM'!H7)</f>
        <v/>
      </c>
      <c r="C6" s="72" t="str">
        <f>IF('Teams &amp; HM'!A7="","",'Teams &amp; HM'!A7)</f>
        <v/>
      </c>
      <c r="D6" s="72" t="str">
        <f>IF('Teams &amp; HM'!B7="","",'Teams &amp; HM'!B7)</f>
        <v/>
      </c>
      <c r="F6" s="7" t="s">
        <v>24</v>
      </c>
      <c r="G6" s="7" t="s">
        <v>3</v>
      </c>
      <c r="H6" s="7"/>
      <c r="I6" s="7"/>
      <c r="J6" s="77" t="str">
        <f t="shared" si="0"/>
        <v/>
      </c>
      <c r="K6" s="110"/>
    </row>
    <row r="7" spans="1:11" hidden="1" x14ac:dyDescent="0.25">
      <c r="A7" s="72" t="str">
        <f>IF('Teams &amp; HM'!A2="","",'Teams &amp; HM'!A2)</f>
        <v/>
      </c>
      <c r="B7" s="72" t="str">
        <f>IF('Teams &amp; HM'!H8="","",'Teams &amp; HM'!H8)</f>
        <v/>
      </c>
      <c r="C7" s="72" t="str">
        <f>IF('Teams &amp; HM'!A8="","",'Teams &amp; HM'!A8)</f>
        <v/>
      </c>
      <c r="D7" s="72" t="str">
        <f>IF('Teams &amp; HM'!B8="","",'Teams &amp; HM'!B8)</f>
        <v/>
      </c>
      <c r="F7" s="7"/>
      <c r="G7" s="7"/>
      <c r="H7" s="7"/>
      <c r="I7" s="7"/>
      <c r="J7" s="77" t="str">
        <f t="shared" si="0"/>
        <v/>
      </c>
      <c r="K7" s="78"/>
    </row>
    <row r="8" spans="1:11" x14ac:dyDescent="0.25">
      <c r="A8" s="72" t="str">
        <f>IF('Teams &amp; HM'!A10="","",'Teams &amp; HM'!A10)</f>
        <v/>
      </c>
      <c r="B8" s="72" t="str">
        <f>IF('Teams &amp; HM'!H12="","",'Teams &amp; HM'!H12)</f>
        <v/>
      </c>
      <c r="C8" s="72" t="str">
        <f>IF('Teams &amp; HM'!A12="","",'Teams &amp; HM'!A12)</f>
        <v/>
      </c>
      <c r="D8" s="72" t="str">
        <f>IF('Teams &amp; HM'!B12="","",'Teams &amp; HM'!B12)</f>
        <v/>
      </c>
      <c r="F8" s="7"/>
      <c r="G8" s="7"/>
      <c r="H8" s="7"/>
      <c r="I8" s="7"/>
      <c r="J8" s="77" t="str">
        <f t="shared" si="0"/>
        <v/>
      </c>
      <c r="K8" s="108" t="str">
        <f>IF(J8="","",IF(COUNT(J8:J11)=4,(SUM(J8:J11)-MIN(J8:J11)),SUM(J8:J10)))</f>
        <v/>
      </c>
    </row>
    <row r="9" spans="1:11" x14ac:dyDescent="0.25">
      <c r="A9" s="72" t="str">
        <f>IF('Teams &amp; HM'!A10="","",'Teams &amp; HM'!A10)</f>
        <v/>
      </c>
      <c r="B9" s="72" t="str">
        <f>IF('Teams &amp; HM'!H13="","",'Teams &amp; HM'!H13)</f>
        <v/>
      </c>
      <c r="C9" s="72" t="str">
        <f>IF('Teams &amp; HM'!A13="","",'Teams &amp; HM'!A13)</f>
        <v/>
      </c>
      <c r="D9" s="72" t="str">
        <f>IF('Teams &amp; HM'!B13="","",'Teams &amp; HM'!B13)</f>
        <v/>
      </c>
      <c r="F9" s="7" t="s">
        <v>21</v>
      </c>
      <c r="G9" s="7"/>
      <c r="H9" s="7"/>
      <c r="I9" s="7"/>
      <c r="J9" s="77" t="str">
        <f t="shared" si="0"/>
        <v/>
      </c>
      <c r="K9" s="109"/>
    </row>
    <row r="10" spans="1:11" x14ac:dyDescent="0.25">
      <c r="A10" s="72" t="str">
        <f>IF('Teams &amp; HM'!A10="","",'Teams &amp; HM'!A10)</f>
        <v/>
      </c>
      <c r="B10" s="72" t="str">
        <f>IF('Teams &amp; HM'!H14="","",'Teams &amp; HM'!H14)</f>
        <v/>
      </c>
      <c r="C10" s="72" t="str">
        <f>IF('Teams &amp; HM'!A14="","",'Teams &amp; HM'!A14)</f>
        <v/>
      </c>
      <c r="D10" s="72" t="str">
        <f>IF('Teams &amp; HM'!B14="","",'Teams &amp; HM'!B14)</f>
        <v/>
      </c>
      <c r="F10" s="7" t="s">
        <v>21</v>
      </c>
      <c r="G10" s="7"/>
      <c r="H10" s="7"/>
      <c r="I10" s="7"/>
      <c r="J10" s="77" t="str">
        <f t="shared" si="0"/>
        <v/>
      </c>
      <c r="K10" s="109"/>
    </row>
    <row r="11" spans="1:11" x14ac:dyDescent="0.25">
      <c r="A11" s="72" t="str">
        <f>IF('Teams &amp; HM'!A10="","",'Teams &amp; HM'!A10)</f>
        <v/>
      </c>
      <c r="B11" s="72" t="str">
        <f>IF('Teams &amp; HM'!H15="","",'Teams &amp; HM'!H15)</f>
        <v/>
      </c>
      <c r="C11" s="72" t="str">
        <f>IF('Teams &amp; HM'!A15="","",'Teams &amp; HM'!A15)</f>
        <v/>
      </c>
      <c r="D11" s="72" t="str">
        <f>IF('Teams &amp; HM'!B15="","",'Teams &amp; HM'!B15)</f>
        <v/>
      </c>
      <c r="F11" s="7"/>
      <c r="G11" s="7"/>
      <c r="H11" s="7"/>
      <c r="I11" s="7"/>
      <c r="J11" s="77" t="str">
        <f t="shared" si="0"/>
        <v/>
      </c>
      <c r="K11" s="110"/>
    </row>
    <row r="12" spans="1:11" hidden="1" x14ac:dyDescent="0.25">
      <c r="A12" s="72" t="str">
        <f>IF('Teams &amp; HM'!A10="","",'Teams &amp; HM'!A10)</f>
        <v/>
      </c>
      <c r="B12" s="72" t="str">
        <f>IF('Teams &amp; HM'!H16="","",'Teams &amp; HM'!H16)</f>
        <v/>
      </c>
      <c r="C12" s="72" t="str">
        <f>IF('Teams &amp; HM'!A16="","",'Teams &amp; HM'!A16)</f>
        <v/>
      </c>
      <c r="D12" s="72" t="str">
        <f>IF('Teams &amp; HM'!B16="","",'Teams &amp; HM'!B16)</f>
        <v/>
      </c>
      <c r="F12" s="7"/>
      <c r="G12" s="7"/>
      <c r="H12" s="7"/>
      <c r="I12" s="7"/>
      <c r="J12" s="77" t="str">
        <f t="shared" si="0"/>
        <v/>
      </c>
      <c r="K12" s="78"/>
    </row>
    <row r="13" spans="1:11" x14ac:dyDescent="0.25">
      <c r="A13" s="72" t="str">
        <f>IF('Teams &amp; HM'!A18="","",'Teams &amp; HM'!A18)</f>
        <v/>
      </c>
      <c r="B13" s="72" t="str">
        <f>IF('Teams &amp; HM'!H20="","",'Teams &amp; HM'!H20)</f>
        <v/>
      </c>
      <c r="C13" s="72" t="str">
        <f>IF('Teams &amp; HM'!A20="","",'Teams &amp; HM'!A20)</f>
        <v/>
      </c>
      <c r="D13" s="72" t="str">
        <f>IF('Teams &amp; HM'!B20="","",'Teams &amp; HM'!B20)</f>
        <v/>
      </c>
      <c r="F13" s="7"/>
      <c r="G13" s="7"/>
      <c r="H13" s="7"/>
      <c r="I13" s="7"/>
      <c r="J13" s="77" t="str">
        <f t="shared" si="0"/>
        <v/>
      </c>
      <c r="K13" s="108" t="str">
        <f>IF(J13="","",IF(COUNT(J13:J16)=4,(SUM(J13:J16)-MIN(J13:J16)),SUM(J13:J15)))</f>
        <v/>
      </c>
    </row>
    <row r="14" spans="1:11" x14ac:dyDescent="0.25">
      <c r="A14" s="72" t="str">
        <f>IF('Teams &amp; HM'!A18="","",'Teams &amp; HM'!A18)</f>
        <v/>
      </c>
      <c r="B14" s="72" t="str">
        <f>IF('Teams &amp; HM'!H21="","",'Teams &amp; HM'!H21)</f>
        <v/>
      </c>
      <c r="C14" s="72" t="str">
        <f>IF('Teams &amp; HM'!A21="","",'Teams &amp; HM'!A21)</f>
        <v/>
      </c>
      <c r="D14" s="72" t="str">
        <f>IF('Teams &amp; HM'!B21="","",'Teams &amp; HM'!B21)</f>
        <v/>
      </c>
      <c r="F14" s="7"/>
      <c r="G14" s="7"/>
      <c r="H14" s="7"/>
      <c r="I14" s="7"/>
      <c r="J14" s="77" t="str">
        <f t="shared" si="0"/>
        <v/>
      </c>
      <c r="K14" s="109"/>
    </row>
    <row r="15" spans="1:11" x14ac:dyDescent="0.25">
      <c r="A15" s="72" t="str">
        <f>IF('Teams &amp; HM'!A18="","",'Teams &amp; HM'!A18)</f>
        <v/>
      </c>
      <c r="B15" s="72" t="str">
        <f>IF('Teams &amp; HM'!H22="","",'Teams &amp; HM'!H22)</f>
        <v/>
      </c>
      <c r="C15" s="72" t="str">
        <f>IF('Teams &amp; HM'!A22="","",'Teams &amp; HM'!A22)</f>
        <v/>
      </c>
      <c r="D15" s="72" t="str">
        <f>IF('Teams &amp; HM'!B22="","",'Teams &amp; HM'!B22)</f>
        <v/>
      </c>
      <c r="F15" s="7"/>
      <c r="G15" s="7"/>
      <c r="H15" s="7"/>
      <c r="I15" s="7"/>
      <c r="J15" s="77" t="str">
        <f t="shared" si="0"/>
        <v/>
      </c>
      <c r="K15" s="109"/>
    </row>
    <row r="16" spans="1:11" x14ac:dyDescent="0.25">
      <c r="A16" s="72" t="str">
        <f>IF('Teams &amp; HM'!A18="","",'Teams &amp; HM'!A18)</f>
        <v/>
      </c>
      <c r="B16" s="72" t="str">
        <f>IF('Teams &amp; HM'!H23="","",'Teams &amp; HM'!H23)</f>
        <v/>
      </c>
      <c r="C16" s="72" t="str">
        <f>IF('Teams &amp; HM'!A23="","",'Teams &amp; HM'!A23)</f>
        <v/>
      </c>
      <c r="D16" s="72" t="str">
        <f>IF('Teams &amp; HM'!B23="","",'Teams &amp; HM'!B23)</f>
        <v/>
      </c>
      <c r="F16" s="7"/>
      <c r="G16" s="7"/>
      <c r="H16" s="7"/>
      <c r="I16" s="7"/>
      <c r="J16" s="77" t="str">
        <f t="shared" si="0"/>
        <v/>
      </c>
      <c r="K16" s="110"/>
    </row>
    <row r="17" spans="1:11" hidden="1" x14ac:dyDescent="0.25">
      <c r="A17" s="72" t="str">
        <f>IF('Teams &amp; HM'!A18="","",'Teams &amp; HM'!A18)</f>
        <v/>
      </c>
      <c r="B17" s="72" t="str">
        <f>IF('Teams &amp; HM'!H24="","",'Teams &amp; HM'!H24)</f>
        <v/>
      </c>
      <c r="C17" s="72" t="str">
        <f>IF('Teams &amp; HM'!A24="","",'Teams &amp; HM'!A24)</f>
        <v/>
      </c>
      <c r="D17" s="72" t="str">
        <f>IF('Teams &amp; HM'!B24="","",'Teams &amp; HM'!B24)</f>
        <v/>
      </c>
      <c r="F17" s="7"/>
      <c r="G17" s="7"/>
      <c r="H17" s="7"/>
      <c r="I17" s="7"/>
      <c r="J17" s="77" t="str">
        <f t="shared" si="0"/>
        <v/>
      </c>
      <c r="K17" s="78"/>
    </row>
    <row r="18" spans="1:11" x14ac:dyDescent="0.25">
      <c r="A18" s="72" t="str">
        <f>IF('Teams &amp; HM'!A26="","",'Teams &amp; HM'!A26)</f>
        <v/>
      </c>
      <c r="B18" s="72" t="str">
        <f>IF('Teams &amp; HM'!H28="","",'Teams &amp; HM'!H28)</f>
        <v/>
      </c>
      <c r="C18" s="72" t="str">
        <f>IF('Teams &amp; HM'!A28="","",'Teams &amp; HM'!A28)</f>
        <v/>
      </c>
      <c r="D18" s="72" t="str">
        <f>IF('Teams &amp; HM'!B28="","",'Teams &amp; HM'!B28)</f>
        <v/>
      </c>
      <c r="F18" s="7"/>
      <c r="G18" s="7"/>
      <c r="H18" s="7"/>
      <c r="I18" s="7"/>
      <c r="J18" s="77" t="str">
        <f t="shared" si="0"/>
        <v/>
      </c>
      <c r="K18" s="108" t="str">
        <f>IF(J18="","",IF(COUNT(J18:J21)=4,(SUM(J18:J21)-MIN(J18:J21)),SUM(J18:J20)))</f>
        <v/>
      </c>
    </row>
    <row r="19" spans="1:11" x14ac:dyDescent="0.25">
      <c r="A19" s="72" t="str">
        <f>IF('Teams &amp; HM'!A26="","",'Teams &amp; HM'!A26)</f>
        <v/>
      </c>
      <c r="B19" s="72" t="str">
        <f>IF('Teams &amp; HM'!H29="","",'Teams &amp; HM'!H29)</f>
        <v/>
      </c>
      <c r="C19" s="72" t="str">
        <f>IF('Teams &amp; HM'!A29="","",'Teams &amp; HM'!A29)</f>
        <v/>
      </c>
      <c r="D19" s="72" t="str">
        <f>IF('Teams &amp; HM'!B29="","",'Teams &amp; HM'!B29)</f>
        <v/>
      </c>
      <c r="F19" s="7"/>
      <c r="G19" s="7"/>
      <c r="H19" s="7"/>
      <c r="I19" s="7"/>
      <c r="J19" s="77" t="str">
        <f t="shared" si="0"/>
        <v/>
      </c>
      <c r="K19" s="109"/>
    </row>
    <row r="20" spans="1:11" x14ac:dyDescent="0.25">
      <c r="A20" s="72" t="str">
        <f>IF('Teams &amp; HM'!A26="","",'Teams &amp; HM'!A26)</f>
        <v/>
      </c>
      <c r="B20" s="72" t="str">
        <f>IF('Teams &amp; HM'!H30="","",'Teams &amp; HM'!H30)</f>
        <v/>
      </c>
      <c r="C20" s="72" t="str">
        <f>IF('Teams &amp; HM'!A30="","",'Teams &amp; HM'!A30)</f>
        <v/>
      </c>
      <c r="D20" s="72" t="str">
        <f>IF('Teams &amp; HM'!B30="","",'Teams &amp; HM'!B30)</f>
        <v/>
      </c>
      <c r="F20" s="7"/>
      <c r="G20" s="7"/>
      <c r="H20" s="7"/>
      <c r="I20" s="7"/>
      <c r="J20" s="77" t="str">
        <f t="shared" si="0"/>
        <v/>
      </c>
      <c r="K20" s="109"/>
    </row>
    <row r="21" spans="1:11" x14ac:dyDescent="0.25">
      <c r="A21" s="72" t="str">
        <f>IF('Teams &amp; HM'!A26="","",'Teams &amp; HM'!A26)</f>
        <v/>
      </c>
      <c r="B21" s="72" t="str">
        <f>IF('Teams &amp; HM'!H31="","",'Teams &amp; HM'!H31)</f>
        <v/>
      </c>
      <c r="C21" s="72" t="str">
        <f>IF('Teams &amp; HM'!A31="","",'Teams &amp; HM'!A31)</f>
        <v/>
      </c>
      <c r="D21" s="72" t="str">
        <f>IF('Teams &amp; HM'!B31="","",'Teams &amp; HM'!B31)</f>
        <v/>
      </c>
      <c r="F21" s="7"/>
      <c r="G21" s="7"/>
      <c r="H21" s="7"/>
      <c r="I21" s="7"/>
      <c r="J21" s="77" t="str">
        <f t="shared" si="0"/>
        <v/>
      </c>
      <c r="K21" s="110"/>
    </row>
    <row r="22" spans="1:11" hidden="1" x14ac:dyDescent="0.25">
      <c r="A22" s="72" t="str">
        <f>IF('Teams &amp; HM'!A26="","",'Teams &amp; HM'!A26)</f>
        <v/>
      </c>
      <c r="B22" s="72" t="str">
        <f>IF('Teams &amp; HM'!H32="","",'Teams &amp; HM'!H32)</f>
        <v/>
      </c>
      <c r="C22" s="72" t="str">
        <f>IF('Teams &amp; HM'!A32="","",'Teams &amp; HM'!A32)</f>
        <v/>
      </c>
      <c r="D22" s="72" t="str">
        <f>IF('Teams &amp; HM'!B32="","",'Teams &amp; HM'!B32)</f>
        <v/>
      </c>
      <c r="F22" s="7"/>
      <c r="G22" s="7"/>
      <c r="H22" s="7"/>
      <c r="I22" s="7"/>
      <c r="J22" s="77" t="str">
        <f t="shared" si="0"/>
        <v/>
      </c>
      <c r="K22" s="78"/>
    </row>
    <row r="23" spans="1:11" x14ac:dyDescent="0.25">
      <c r="A23" s="72" t="str">
        <f>IF('Teams &amp; HM'!A34="","",'Teams &amp; HM'!A34)</f>
        <v/>
      </c>
      <c r="B23" s="72" t="str">
        <f>IF('Teams &amp; HM'!H36="","",'Teams &amp; HM'!H36)</f>
        <v/>
      </c>
      <c r="C23" s="72" t="str">
        <f>IF('Teams &amp; HM'!A36="","",'Teams &amp; HM'!A36)</f>
        <v/>
      </c>
      <c r="D23" s="72" t="str">
        <f>IF('Teams &amp; HM'!B36="","",'Teams &amp; HM'!B36)</f>
        <v/>
      </c>
      <c r="F23" s="7"/>
      <c r="G23" s="7"/>
      <c r="H23" s="7"/>
      <c r="I23" s="7"/>
      <c r="J23" s="77" t="str">
        <f t="shared" si="0"/>
        <v/>
      </c>
      <c r="K23" s="108" t="str">
        <f>IF(J23="","",IF(COUNT(J23:J26)=4,(SUM(J23:J26)-MIN(J23:J26)),SUM(J23:J25)))</f>
        <v/>
      </c>
    </row>
    <row r="24" spans="1:11" x14ac:dyDescent="0.25">
      <c r="A24" s="72" t="str">
        <f>IF('Teams &amp; HM'!A34="","",'Teams &amp; HM'!A34)</f>
        <v/>
      </c>
      <c r="B24" s="72" t="str">
        <f>IF('Teams &amp; HM'!H37="","",'Teams &amp; HM'!H37)</f>
        <v/>
      </c>
      <c r="C24" s="72" t="str">
        <f>IF('Teams &amp; HM'!A37="","",'Teams &amp; HM'!A37)</f>
        <v/>
      </c>
      <c r="D24" s="72" t="str">
        <f>IF('Teams &amp; HM'!B37="","",'Teams &amp; HM'!B37)</f>
        <v/>
      </c>
      <c r="F24" s="7"/>
      <c r="G24" s="7"/>
      <c r="H24" s="7"/>
      <c r="I24" s="7"/>
      <c r="J24" s="77" t="str">
        <f t="shared" si="0"/>
        <v/>
      </c>
      <c r="K24" s="109"/>
    </row>
    <row r="25" spans="1:11" x14ac:dyDescent="0.25">
      <c r="A25" s="72" t="str">
        <f>IF('Teams &amp; HM'!A34="","",'Teams &amp; HM'!A34)</f>
        <v/>
      </c>
      <c r="B25" s="72" t="str">
        <f>IF('Teams &amp; HM'!H38="","",'Teams &amp; HM'!H38)</f>
        <v/>
      </c>
      <c r="C25" s="72" t="str">
        <f>IF('Teams &amp; HM'!A38="","",'Teams &amp; HM'!A38)</f>
        <v/>
      </c>
      <c r="D25" s="72" t="str">
        <f>IF('Teams &amp; HM'!B38="","",'Teams &amp; HM'!B38)</f>
        <v/>
      </c>
      <c r="F25" s="7"/>
      <c r="G25" s="7"/>
      <c r="H25" s="7"/>
      <c r="I25" s="7"/>
      <c r="J25" s="77" t="str">
        <f t="shared" si="0"/>
        <v/>
      </c>
      <c r="K25" s="109"/>
    </row>
    <row r="26" spans="1:11" x14ac:dyDescent="0.25">
      <c r="A26" s="72" t="str">
        <f>IF('Teams &amp; HM'!A34="","",'Teams &amp; HM'!A34)</f>
        <v/>
      </c>
      <c r="B26" s="72" t="str">
        <f>IF('Teams &amp; HM'!H39="","",'Teams &amp; HM'!H39)</f>
        <v/>
      </c>
      <c r="C26" s="72" t="str">
        <f>IF('Teams &amp; HM'!A39="","",'Teams &amp; HM'!A39)</f>
        <v/>
      </c>
      <c r="D26" s="72" t="str">
        <f>IF('Teams &amp; HM'!B39="","",'Teams &amp; HM'!B39)</f>
        <v/>
      </c>
      <c r="F26" s="7"/>
      <c r="G26" s="7"/>
      <c r="H26" s="7"/>
      <c r="I26" s="7"/>
      <c r="J26" s="77" t="str">
        <f t="shared" si="0"/>
        <v/>
      </c>
      <c r="K26" s="110"/>
    </row>
    <row r="27" spans="1:11" hidden="1" x14ac:dyDescent="0.25">
      <c r="A27" s="72" t="str">
        <f>IF('Teams &amp; HM'!A34="","",'Teams &amp; HM'!A34)</f>
        <v/>
      </c>
      <c r="B27" s="72" t="str">
        <f>IF('Teams &amp; HM'!H40="","",'Teams &amp; HM'!H40)</f>
        <v/>
      </c>
      <c r="C27" s="72" t="str">
        <f>IF('Teams &amp; HM'!A40="","",'Teams &amp; HM'!A40)</f>
        <v/>
      </c>
      <c r="D27" s="72" t="str">
        <f>IF('Teams &amp; HM'!B40="","",'Teams &amp; HM'!B40)</f>
        <v/>
      </c>
      <c r="F27" s="7"/>
      <c r="G27" s="7"/>
      <c r="H27" s="7"/>
      <c r="I27" s="7"/>
      <c r="J27" s="77" t="str">
        <f t="shared" si="0"/>
        <v/>
      </c>
      <c r="K27" s="78"/>
    </row>
    <row r="28" spans="1:11" x14ac:dyDescent="0.25">
      <c r="A28" s="72" t="str">
        <f>IF('Teams &amp; HM'!A42="","",'Teams &amp; HM'!A42)</f>
        <v/>
      </c>
      <c r="B28" s="72" t="str">
        <f>IF('Teams &amp; HM'!H44="","",'Teams &amp; HM'!H44)</f>
        <v/>
      </c>
      <c r="C28" s="72" t="str">
        <f>IF('Teams &amp; HM'!A44="","",'Teams &amp; HM'!A44)</f>
        <v/>
      </c>
      <c r="D28" s="72" t="str">
        <f>IF('Teams &amp; HM'!B44="","",'Teams &amp; HM'!B44)</f>
        <v/>
      </c>
      <c r="F28" s="7"/>
      <c r="G28" s="7"/>
      <c r="H28" s="7"/>
      <c r="I28" s="7"/>
      <c r="J28" s="77" t="str">
        <f t="shared" si="0"/>
        <v/>
      </c>
      <c r="K28" s="108" t="str">
        <f>IF(J28="","",IF(COUNT(J28:J31)=4,(SUM(J28:J31)-MIN(J28:J31)),SUM(J28:J30)))</f>
        <v/>
      </c>
    </row>
    <row r="29" spans="1:11" x14ac:dyDescent="0.25">
      <c r="A29" s="72" t="str">
        <f>IF('Teams &amp; HM'!A42="","",'Teams &amp; HM'!A42)</f>
        <v/>
      </c>
      <c r="B29" s="72" t="str">
        <f>IF('Teams &amp; HM'!H45="","",'Teams &amp; HM'!H45)</f>
        <v/>
      </c>
      <c r="C29" s="72" t="str">
        <f>IF('Teams &amp; HM'!A45="","",'Teams &amp; HM'!A45)</f>
        <v/>
      </c>
      <c r="D29" s="72" t="str">
        <f>IF('Teams &amp; HM'!B45="","",'Teams &amp; HM'!B45)</f>
        <v/>
      </c>
      <c r="F29" s="7"/>
      <c r="G29" s="7"/>
      <c r="H29" s="7"/>
      <c r="I29" s="7"/>
      <c r="J29" s="77" t="str">
        <f t="shared" si="0"/>
        <v/>
      </c>
      <c r="K29" s="109"/>
    </row>
    <row r="30" spans="1:11" x14ac:dyDescent="0.25">
      <c r="A30" s="72" t="str">
        <f>IF('Teams &amp; HM'!A42="","",'Teams &amp; HM'!A42)</f>
        <v/>
      </c>
      <c r="B30" s="72" t="str">
        <f>IF('Teams &amp; HM'!H46="","",'Teams &amp; HM'!H46)</f>
        <v/>
      </c>
      <c r="C30" s="72" t="str">
        <f>IF('Teams &amp; HM'!A46="","",'Teams &amp; HM'!A46)</f>
        <v/>
      </c>
      <c r="D30" s="72" t="str">
        <f>IF('Teams &amp; HM'!B46="","",'Teams &amp; HM'!B46)</f>
        <v/>
      </c>
      <c r="F30" s="7"/>
      <c r="G30" s="7"/>
      <c r="H30" s="7"/>
      <c r="I30" s="7"/>
      <c r="J30" s="77" t="str">
        <f t="shared" si="0"/>
        <v/>
      </c>
      <c r="K30" s="109"/>
    </row>
    <row r="31" spans="1:11" x14ac:dyDescent="0.25">
      <c r="A31" s="72" t="str">
        <f>IF('Teams &amp; HM'!A42="","",'Teams &amp; HM'!A42)</f>
        <v/>
      </c>
      <c r="B31" s="72" t="str">
        <f>IF('Teams &amp; HM'!H47="","",'Teams &amp; HM'!H47)</f>
        <v/>
      </c>
      <c r="C31" s="72" t="str">
        <f>IF('Teams &amp; HM'!A47="","",'Teams &amp; HM'!A47)</f>
        <v/>
      </c>
      <c r="D31" s="72" t="str">
        <f>IF('Teams &amp; HM'!B47="","",'Teams &amp; HM'!B47)</f>
        <v/>
      </c>
      <c r="F31" s="7"/>
      <c r="G31" s="7"/>
      <c r="H31" s="7"/>
      <c r="I31" s="7"/>
      <c r="J31" s="77" t="str">
        <f t="shared" si="0"/>
        <v/>
      </c>
      <c r="K31" s="110"/>
    </row>
    <row r="32" spans="1:11" hidden="1" x14ac:dyDescent="0.25">
      <c r="A32" s="72" t="str">
        <f>IF('Teams &amp; HM'!A42="","",'Teams &amp; HM'!A42)</f>
        <v/>
      </c>
      <c r="B32" s="72" t="str">
        <f>IF('Teams &amp; HM'!H48="","",'Teams &amp; HM'!H48)</f>
        <v/>
      </c>
      <c r="C32" s="72" t="str">
        <f>IF('Teams &amp; HM'!A48="","",'Teams &amp; HM'!A48)</f>
        <v/>
      </c>
      <c r="D32" s="72" t="str">
        <f>IF('Teams &amp; HM'!B48="","",'Teams &amp; HM'!B48)</f>
        <v/>
      </c>
      <c r="F32" s="7"/>
      <c r="G32" s="7"/>
      <c r="H32" s="7"/>
      <c r="I32" s="7"/>
      <c r="J32" s="77" t="str">
        <f t="shared" si="0"/>
        <v/>
      </c>
      <c r="K32" s="78"/>
    </row>
    <row r="33" spans="1:11" x14ac:dyDescent="0.25">
      <c r="A33" s="72" t="str">
        <f>IF('Teams &amp; HM'!A50="","",'Teams &amp; HM'!A50)</f>
        <v/>
      </c>
      <c r="B33" s="72" t="str">
        <f>IF('Teams &amp; HM'!H52="","",'Teams &amp; HM'!H52)</f>
        <v/>
      </c>
      <c r="C33" s="72" t="str">
        <f>IF('Teams &amp; HM'!A52="","",'Teams &amp; HM'!A52)</f>
        <v/>
      </c>
      <c r="D33" s="72" t="str">
        <f>IF('Teams &amp; HM'!B52="","",'Teams &amp; HM'!B52)</f>
        <v/>
      </c>
      <c r="F33" s="7"/>
      <c r="G33" s="7"/>
      <c r="H33" s="7"/>
      <c r="I33" s="7"/>
      <c r="J33" s="77" t="str">
        <f t="shared" si="0"/>
        <v/>
      </c>
      <c r="K33" s="108" t="str">
        <f>IF(J33="","",IF(COUNT(J33:J36)=4,(SUM(J33:J36)-MIN(J33:J36)),SUM(J33:J35)))</f>
        <v/>
      </c>
    </row>
    <row r="34" spans="1:11" x14ac:dyDescent="0.25">
      <c r="A34" s="72" t="str">
        <f>IF('Teams &amp; HM'!A50="","",'Teams &amp; HM'!A50)</f>
        <v/>
      </c>
      <c r="B34" s="72" t="str">
        <f>IF('Teams &amp; HM'!H53="","",'Teams &amp; HM'!H53)</f>
        <v/>
      </c>
      <c r="C34" s="72" t="str">
        <f>IF('Teams &amp; HM'!A53="","",'Teams &amp; HM'!A53)</f>
        <v/>
      </c>
      <c r="D34" s="72" t="str">
        <f>IF('Teams &amp; HM'!B53="","",'Teams &amp; HM'!B53)</f>
        <v/>
      </c>
      <c r="F34" s="7"/>
      <c r="G34" s="7"/>
      <c r="H34" s="7"/>
      <c r="I34" s="7"/>
      <c r="J34" s="77" t="str">
        <f t="shared" si="0"/>
        <v/>
      </c>
      <c r="K34" s="109"/>
    </row>
    <row r="35" spans="1:11" x14ac:dyDescent="0.25">
      <c r="A35" s="72" t="str">
        <f>IF('Teams &amp; HM'!A50="","",'Teams &amp; HM'!A50)</f>
        <v/>
      </c>
      <c r="B35" s="72" t="str">
        <f>IF('Teams &amp; HM'!H54="","",'Teams &amp; HM'!H54)</f>
        <v/>
      </c>
      <c r="C35" s="72" t="str">
        <f>IF('Teams &amp; HM'!A54="","",'Teams &amp; HM'!A54)</f>
        <v/>
      </c>
      <c r="D35" s="72" t="str">
        <f>IF('Teams &amp; HM'!B54="","",'Teams &amp; HM'!B54)</f>
        <v/>
      </c>
      <c r="F35" s="7"/>
      <c r="G35" s="7"/>
      <c r="H35" s="7"/>
      <c r="I35" s="7"/>
      <c r="J35" s="77" t="str">
        <f t="shared" si="0"/>
        <v/>
      </c>
      <c r="K35" s="109"/>
    </row>
    <row r="36" spans="1:11" x14ac:dyDescent="0.25">
      <c r="A36" s="72" t="str">
        <f>IF('Teams &amp; HM'!A50="","",'Teams &amp; HM'!A50)</f>
        <v/>
      </c>
      <c r="B36" s="72" t="str">
        <f>IF('Teams &amp; HM'!H55="","",'Teams &amp; HM'!H55)</f>
        <v/>
      </c>
      <c r="C36" s="72" t="str">
        <f>IF('Teams &amp; HM'!A55="","",'Teams &amp; HM'!A55)</f>
        <v/>
      </c>
      <c r="D36" s="72" t="str">
        <f>IF('Teams &amp; HM'!B55="","",'Teams &amp; HM'!B55)</f>
        <v/>
      </c>
      <c r="F36" s="7"/>
      <c r="G36" s="7"/>
      <c r="H36" s="7"/>
      <c r="I36" s="7"/>
      <c r="J36" s="77" t="str">
        <f t="shared" si="0"/>
        <v/>
      </c>
      <c r="K36" s="110"/>
    </row>
    <row r="37" spans="1:11" hidden="1" x14ac:dyDescent="0.25">
      <c r="A37" s="72" t="str">
        <f>IF('Teams &amp; HM'!A50="","",'Teams &amp; HM'!A50)</f>
        <v/>
      </c>
      <c r="B37" s="72" t="str">
        <f>IF('Teams &amp; HM'!H56="","",'Teams &amp; HM'!H56)</f>
        <v/>
      </c>
      <c r="C37" s="72" t="str">
        <f>IF('Teams &amp; HM'!A56="","",'Teams &amp; HM'!A56)</f>
        <v/>
      </c>
      <c r="D37" s="72" t="str">
        <f>IF('Teams &amp; HM'!B56="","",'Teams &amp; HM'!B56)</f>
        <v/>
      </c>
      <c r="F37" s="7"/>
      <c r="G37" s="7"/>
      <c r="H37" s="7"/>
      <c r="I37" s="7"/>
      <c r="J37" s="77" t="str">
        <f t="shared" si="0"/>
        <v/>
      </c>
      <c r="K37" s="78"/>
    </row>
    <row r="38" spans="1:11" x14ac:dyDescent="0.25">
      <c r="A38" s="72" t="str">
        <f>IF('Teams &amp; HM'!A58="","",'Teams &amp; HM'!A58)</f>
        <v/>
      </c>
      <c r="B38" s="72" t="str">
        <f>IF('Teams &amp; HM'!H60="","",'Teams &amp; HM'!H60)</f>
        <v/>
      </c>
      <c r="C38" s="72" t="str">
        <f>IF('Teams &amp; HM'!A60="","",'Teams &amp; HM'!A60)</f>
        <v/>
      </c>
      <c r="D38" s="72" t="str">
        <f>IF('Teams &amp; HM'!B60="","",'Teams &amp; HM'!B60)</f>
        <v/>
      </c>
      <c r="F38" s="7"/>
      <c r="G38" s="7"/>
      <c r="H38" s="7"/>
      <c r="I38" s="7"/>
      <c r="J38" s="77" t="str">
        <f t="shared" si="0"/>
        <v/>
      </c>
      <c r="K38" s="108" t="str">
        <f>IF(J38="","",IF(COUNT(J38:J41)=4,(SUM(J38:J41)-MIN(J38:J41)),SUM(J38:J40)))</f>
        <v/>
      </c>
    </row>
    <row r="39" spans="1:11" x14ac:dyDescent="0.25">
      <c r="A39" s="72" t="str">
        <f>IF('Teams &amp; HM'!A58="","",'Teams &amp; HM'!A58)</f>
        <v/>
      </c>
      <c r="B39" s="72" t="str">
        <f>IF('Teams &amp; HM'!H61="","",'Teams &amp; HM'!H61)</f>
        <v/>
      </c>
      <c r="C39" s="72" t="str">
        <f>IF('Teams &amp; HM'!A61="","",'Teams &amp; HM'!A61)</f>
        <v/>
      </c>
      <c r="D39" s="72" t="str">
        <f>IF('Teams &amp; HM'!B61="","",'Teams &amp; HM'!B61)</f>
        <v/>
      </c>
      <c r="F39" s="7"/>
      <c r="G39" s="7"/>
      <c r="H39" s="7"/>
      <c r="I39" s="7"/>
      <c r="J39" s="77" t="str">
        <f t="shared" si="0"/>
        <v/>
      </c>
      <c r="K39" s="109"/>
    </row>
    <row r="40" spans="1:11" x14ac:dyDescent="0.25">
      <c r="A40" s="72" t="str">
        <f>IF('Teams &amp; HM'!A58="","",'Teams &amp; HM'!A58)</f>
        <v/>
      </c>
      <c r="B40" s="72" t="str">
        <f>IF('Teams &amp; HM'!H62="","",'Teams &amp; HM'!H62)</f>
        <v/>
      </c>
      <c r="C40" s="72" t="str">
        <f>IF('Teams &amp; HM'!A62="","",'Teams &amp; HM'!A62)</f>
        <v/>
      </c>
      <c r="D40" s="72" t="str">
        <f>IF('Teams &amp; HM'!B62="","",'Teams &amp; HM'!B62)</f>
        <v/>
      </c>
      <c r="F40" s="7"/>
      <c r="G40" s="7"/>
      <c r="H40" s="7"/>
      <c r="I40" s="7"/>
      <c r="J40" s="77" t="str">
        <f t="shared" si="0"/>
        <v/>
      </c>
      <c r="K40" s="109"/>
    </row>
    <row r="41" spans="1:11" x14ac:dyDescent="0.25">
      <c r="A41" s="72" t="str">
        <f>IF('Teams &amp; HM'!A58="","",'Teams &amp; HM'!A58)</f>
        <v/>
      </c>
      <c r="B41" s="72" t="str">
        <f>IF('Teams &amp; HM'!H63="","",'Teams &amp; HM'!H63)</f>
        <v/>
      </c>
      <c r="C41" s="72" t="str">
        <f>IF('Teams &amp; HM'!A63="","",'Teams &amp; HM'!A63)</f>
        <v/>
      </c>
      <c r="D41" s="72" t="str">
        <f>IF('Teams &amp; HM'!B63="","",'Teams &amp; HM'!B63)</f>
        <v/>
      </c>
      <c r="F41" s="7"/>
      <c r="G41" s="7"/>
      <c r="H41" s="7"/>
      <c r="I41" s="7"/>
      <c r="J41" s="77" t="str">
        <f t="shared" si="0"/>
        <v/>
      </c>
      <c r="K41" s="110"/>
    </row>
    <row r="42" spans="1:11" hidden="1" x14ac:dyDescent="0.25">
      <c r="A42" s="72" t="str">
        <f>IF('Teams &amp; HM'!A58="","",'Teams &amp; HM'!A58)</f>
        <v/>
      </c>
      <c r="B42" s="72" t="str">
        <f>IF('Teams &amp; HM'!H64="","",'Teams &amp; HM'!H64)</f>
        <v/>
      </c>
      <c r="C42" s="72" t="str">
        <f>IF('Teams &amp; HM'!A64="","",'Teams &amp; HM'!A64)</f>
        <v/>
      </c>
      <c r="D42" s="72" t="str">
        <f>IF('Teams &amp; HM'!B64="","",'Teams &amp; HM'!B64)</f>
        <v/>
      </c>
      <c r="F42" s="7"/>
      <c r="G42" s="7"/>
      <c r="H42" s="7"/>
      <c r="I42" s="7"/>
      <c r="J42" s="77" t="str">
        <f t="shared" si="0"/>
        <v/>
      </c>
      <c r="K42" s="78"/>
    </row>
    <row r="43" spans="1:11" x14ac:dyDescent="0.25">
      <c r="A43" s="72" t="str">
        <f>IF('Teams &amp; HM'!A66="","",'Teams &amp; HM'!A66)</f>
        <v/>
      </c>
      <c r="B43" s="72" t="str">
        <f>IF('Teams &amp; HM'!H68="","",'Teams &amp; HM'!H68)</f>
        <v/>
      </c>
      <c r="C43" s="72" t="str">
        <f>IF('Teams &amp; HM'!A68="","",'Teams &amp; HM'!A68)</f>
        <v/>
      </c>
      <c r="D43" s="72" t="str">
        <f>IF('Teams &amp; HM'!B68="","",'Teams &amp; HM'!B68)</f>
        <v/>
      </c>
      <c r="F43" s="7"/>
      <c r="G43" s="7"/>
      <c r="H43" s="7"/>
      <c r="I43" s="7"/>
      <c r="J43" s="77" t="str">
        <f t="shared" si="0"/>
        <v/>
      </c>
      <c r="K43" s="108" t="str">
        <f>IF(J43="","",IF(COUNT(J43:J46)=4,(SUM(J43:J46)-MIN(J43:J46)),SUM(J43:J45)))</f>
        <v/>
      </c>
    </row>
    <row r="44" spans="1:11" x14ac:dyDescent="0.25">
      <c r="A44" s="72" t="str">
        <f>IF('Teams &amp; HM'!A66="","",'Teams &amp; HM'!A66)</f>
        <v/>
      </c>
      <c r="B44" s="72" t="str">
        <f>IF('Teams &amp; HM'!H69="","",'Teams &amp; HM'!H69)</f>
        <v/>
      </c>
      <c r="C44" s="72" t="str">
        <f>IF('Teams &amp; HM'!A69="","",'Teams &amp; HM'!A69)</f>
        <v/>
      </c>
      <c r="D44" s="72" t="str">
        <f>IF('Teams &amp; HM'!B69="","",'Teams &amp; HM'!B69)</f>
        <v/>
      </c>
      <c r="F44" s="7"/>
      <c r="G44" s="7"/>
      <c r="H44" s="7"/>
      <c r="I44" s="7"/>
      <c r="J44" s="77" t="str">
        <f t="shared" si="0"/>
        <v/>
      </c>
      <c r="K44" s="109"/>
    </row>
    <row r="45" spans="1:11" x14ac:dyDescent="0.25">
      <c r="A45" s="72" t="str">
        <f>IF('Teams &amp; HM'!A66="","",'Teams &amp; HM'!A66)</f>
        <v/>
      </c>
      <c r="B45" s="72" t="str">
        <f>IF('Teams &amp; HM'!H70="","",'Teams &amp; HM'!H70)</f>
        <v/>
      </c>
      <c r="C45" s="72" t="str">
        <f>IF('Teams &amp; HM'!A70="","",'Teams &amp; HM'!A70)</f>
        <v/>
      </c>
      <c r="D45" s="72" t="str">
        <f>IF('Teams &amp; HM'!B70="","",'Teams &amp; HM'!B70)</f>
        <v/>
      </c>
      <c r="F45" s="7"/>
      <c r="G45" s="7"/>
      <c r="H45" s="7"/>
      <c r="I45" s="7"/>
      <c r="J45" s="77" t="str">
        <f t="shared" si="0"/>
        <v/>
      </c>
      <c r="K45" s="109"/>
    </row>
    <row r="46" spans="1:11" x14ac:dyDescent="0.25">
      <c r="A46" s="72" t="str">
        <f>IF('Teams &amp; HM'!A66="","",'Teams &amp; HM'!A66)</f>
        <v/>
      </c>
      <c r="B46" s="72" t="str">
        <f>IF('Teams &amp; HM'!H71="","",'Teams &amp; HM'!H71)</f>
        <v/>
      </c>
      <c r="C46" s="72" t="str">
        <f>IF('Teams &amp; HM'!A71="","",'Teams &amp; HM'!A71)</f>
        <v/>
      </c>
      <c r="D46" s="72" t="str">
        <f>IF('Teams &amp; HM'!B71="","",'Teams &amp; HM'!B71)</f>
        <v/>
      </c>
      <c r="F46" s="7"/>
      <c r="G46" s="7"/>
      <c r="H46" s="7"/>
      <c r="I46" s="7"/>
      <c r="J46" s="77" t="str">
        <f t="shared" si="0"/>
        <v/>
      </c>
      <c r="K46" s="110"/>
    </row>
    <row r="47" spans="1:11" hidden="1" x14ac:dyDescent="0.25">
      <c r="A47" s="72" t="str">
        <f>IF('Teams &amp; HM'!A66="","",'Teams &amp; HM'!A66)</f>
        <v/>
      </c>
      <c r="B47" s="72" t="str">
        <f>IF('Teams &amp; HM'!H72="","",'Teams &amp; HM'!H72)</f>
        <v/>
      </c>
      <c r="C47" s="72" t="str">
        <f>IF('Teams &amp; HM'!A72="","",'Teams &amp; HM'!A72)</f>
        <v/>
      </c>
      <c r="D47" s="72" t="str">
        <f>IF('Teams &amp; HM'!B72="","",'Teams &amp; HM'!B72)</f>
        <v/>
      </c>
      <c r="F47" s="7"/>
      <c r="G47" s="7"/>
      <c r="H47" s="7"/>
      <c r="I47" s="7"/>
      <c r="J47" s="77" t="str">
        <f t="shared" si="0"/>
        <v/>
      </c>
      <c r="K47" s="78"/>
    </row>
    <row r="48" spans="1:11" x14ac:dyDescent="0.25">
      <c r="A48" s="72" t="str">
        <f>IF('Teams &amp; HM'!A74="","",'Teams &amp; HM'!A74)</f>
        <v/>
      </c>
      <c r="B48" s="72" t="str">
        <f>IF('Teams &amp; HM'!H76="","",'Teams &amp; HM'!H76)</f>
        <v/>
      </c>
      <c r="C48" s="72" t="str">
        <f>IF('Teams &amp; HM'!A76="","",'Teams &amp; HM'!A76)</f>
        <v/>
      </c>
      <c r="D48" s="72" t="str">
        <f>IF('Teams &amp; HM'!B76="","",'Teams &amp; HM'!B76)</f>
        <v/>
      </c>
      <c r="F48" s="7"/>
      <c r="G48" s="7"/>
      <c r="H48" s="7"/>
      <c r="I48" s="7"/>
      <c r="J48" s="77" t="str">
        <f t="shared" si="0"/>
        <v/>
      </c>
      <c r="K48" s="108" t="str">
        <f>IF(J48="","",IF(COUNT(J48:J51)=4,(SUM(J48:J51)-MIN(J48:J51)),SUM(J48:J50)))</f>
        <v/>
      </c>
    </row>
    <row r="49" spans="1:11" x14ac:dyDescent="0.25">
      <c r="A49" s="72" t="str">
        <f>IF('Teams &amp; HM'!A74="","",'Teams &amp; HM'!A74)</f>
        <v/>
      </c>
      <c r="B49" s="72" t="str">
        <f>IF('Teams &amp; HM'!H77="","",'Teams &amp; HM'!H77)</f>
        <v/>
      </c>
      <c r="C49" s="72" t="str">
        <f>IF('Teams &amp; HM'!A77="","",'Teams &amp; HM'!A77)</f>
        <v/>
      </c>
      <c r="D49" s="72" t="str">
        <f>IF('Teams &amp; HM'!B77="","",'Teams &amp; HM'!B77)</f>
        <v/>
      </c>
      <c r="F49" s="7"/>
      <c r="G49" s="7"/>
      <c r="H49" s="7"/>
      <c r="I49" s="7"/>
      <c r="J49" s="77" t="str">
        <f t="shared" si="0"/>
        <v/>
      </c>
      <c r="K49" s="109"/>
    </row>
    <row r="50" spans="1:11" x14ac:dyDescent="0.25">
      <c r="A50" s="72" t="str">
        <f>IF('Teams &amp; HM'!A74="","",'Teams &amp; HM'!A74)</f>
        <v/>
      </c>
      <c r="B50" s="72" t="str">
        <f>IF('Teams &amp; HM'!H78="","",'Teams &amp; HM'!H78)</f>
        <v/>
      </c>
      <c r="C50" s="72" t="str">
        <f>IF('Teams &amp; HM'!A78="","",'Teams &amp; HM'!A78)</f>
        <v/>
      </c>
      <c r="D50" s="72" t="str">
        <f>IF('Teams &amp; HM'!B78="","",'Teams &amp; HM'!B78)</f>
        <v/>
      </c>
      <c r="F50" s="7"/>
      <c r="G50" s="7"/>
      <c r="H50" s="7"/>
      <c r="I50" s="7"/>
      <c r="J50" s="77" t="str">
        <f t="shared" si="0"/>
        <v/>
      </c>
      <c r="K50" s="109"/>
    </row>
    <row r="51" spans="1:11" x14ac:dyDescent="0.25">
      <c r="A51" s="72" t="str">
        <f>IF('Teams &amp; HM'!A74="","",'Teams &amp; HM'!A74)</f>
        <v/>
      </c>
      <c r="B51" s="72" t="str">
        <f>IF('Teams &amp; HM'!H79="","",'Teams &amp; HM'!H79)</f>
        <v/>
      </c>
      <c r="C51" s="72" t="str">
        <f>IF('Teams &amp; HM'!A79="","",'Teams &amp; HM'!A79)</f>
        <v/>
      </c>
      <c r="D51" s="72" t="str">
        <f>IF('Teams &amp; HM'!B79="","",'Teams &amp; HM'!B79)</f>
        <v/>
      </c>
      <c r="F51" s="7"/>
      <c r="G51" s="7"/>
      <c r="H51" s="7"/>
      <c r="I51" s="7"/>
      <c r="J51" s="77" t="str">
        <f t="shared" si="0"/>
        <v/>
      </c>
      <c r="K51" s="110"/>
    </row>
    <row r="52" spans="1:11" hidden="1" x14ac:dyDescent="0.25">
      <c r="A52" s="72" t="str">
        <f>IF('Teams &amp; HM'!A74="","",'Teams &amp; HM'!A74)</f>
        <v/>
      </c>
      <c r="B52" s="72" t="str">
        <f>IF('Teams &amp; HM'!H80="","",'Teams &amp; HM'!H80)</f>
        <v/>
      </c>
      <c r="C52" s="72" t="str">
        <f>IF('Teams &amp; HM'!A80="","",'Teams &amp; HM'!A80)</f>
        <v/>
      </c>
      <c r="D52" s="72" t="str">
        <f>IF('Teams &amp; HM'!B80="","",'Teams &amp; HM'!B80)</f>
        <v/>
      </c>
      <c r="F52" s="7"/>
      <c r="G52" s="7"/>
      <c r="H52" s="7"/>
      <c r="I52" s="7"/>
      <c r="J52" s="77" t="str">
        <f t="shared" si="0"/>
        <v/>
      </c>
      <c r="K52" s="78"/>
    </row>
    <row r="53" spans="1:11" x14ac:dyDescent="0.25">
      <c r="A53" s="72" t="str">
        <f>IF('Teams &amp; HM'!A82="","",'Teams &amp; HM'!A82)</f>
        <v/>
      </c>
      <c r="B53" s="72" t="str">
        <f>IF('Teams &amp; HM'!H84="","",'Teams &amp; HM'!H84)</f>
        <v/>
      </c>
      <c r="C53" s="72" t="str">
        <f>IF('Teams &amp; HM'!A84="","",'Teams &amp; HM'!A84)</f>
        <v/>
      </c>
      <c r="D53" s="72" t="str">
        <f>IF('Teams &amp; HM'!B84="","",'Teams &amp; HM'!B84)</f>
        <v/>
      </c>
      <c r="F53" s="7"/>
      <c r="G53" s="7"/>
      <c r="H53" s="7"/>
      <c r="I53" s="7"/>
      <c r="J53" s="77" t="str">
        <f t="shared" si="0"/>
        <v/>
      </c>
      <c r="K53" s="108" t="str">
        <f>IF(J53="","",IF(COUNT(J53:J56)=4,(SUM(J53:J56)-MIN(J53:J56)),SUM(J53:J55)))</f>
        <v/>
      </c>
    </row>
    <row r="54" spans="1:11" x14ac:dyDescent="0.25">
      <c r="A54" s="72" t="str">
        <f>IF('Teams &amp; HM'!A82="","",'Teams &amp; HM'!A82)</f>
        <v/>
      </c>
      <c r="B54" s="72" t="str">
        <f>IF('Teams &amp; HM'!H85="","",'Teams &amp; HM'!H85)</f>
        <v/>
      </c>
      <c r="C54" s="72" t="str">
        <f>IF('Teams &amp; HM'!A85="","",'Teams &amp; HM'!A85)</f>
        <v/>
      </c>
      <c r="D54" s="72" t="str">
        <f>IF('Teams &amp; HM'!B85="","",'Teams &amp; HM'!B85)</f>
        <v/>
      </c>
      <c r="F54" s="7"/>
      <c r="G54" s="7"/>
      <c r="H54" s="7"/>
      <c r="I54" s="7"/>
      <c r="J54" s="77" t="str">
        <f t="shared" si="0"/>
        <v/>
      </c>
      <c r="K54" s="109"/>
    </row>
    <row r="55" spans="1:11" x14ac:dyDescent="0.25">
      <c r="A55" s="72" t="str">
        <f>IF('Teams &amp; HM'!A82="","",'Teams &amp; HM'!A82)</f>
        <v/>
      </c>
      <c r="B55" s="72" t="str">
        <f>IF('Teams &amp; HM'!H86="","",'Teams &amp; HM'!H86)</f>
        <v/>
      </c>
      <c r="C55" s="72" t="str">
        <f>IF('Teams &amp; HM'!A86="","",'Teams &amp; HM'!A86)</f>
        <v/>
      </c>
      <c r="D55" s="72" t="str">
        <f>IF('Teams &amp; HM'!B86="","",'Teams &amp; HM'!B86)</f>
        <v/>
      </c>
      <c r="F55" s="7"/>
      <c r="G55" s="7"/>
      <c r="H55" s="7"/>
      <c r="I55" s="7"/>
      <c r="J55" s="77" t="str">
        <f t="shared" si="0"/>
        <v/>
      </c>
      <c r="K55" s="109"/>
    </row>
    <row r="56" spans="1:11" x14ac:dyDescent="0.25">
      <c r="A56" s="72" t="str">
        <f>IF('Teams &amp; HM'!A82="","",'Teams &amp; HM'!A82)</f>
        <v/>
      </c>
      <c r="B56" s="72" t="str">
        <f>IF('Teams &amp; HM'!H87="","",'Teams &amp; HM'!H87)</f>
        <v/>
      </c>
      <c r="C56" s="72" t="str">
        <f>IF('Teams &amp; HM'!A87="","",'Teams &amp; HM'!A87)</f>
        <v/>
      </c>
      <c r="D56" s="72" t="str">
        <f>IF('Teams &amp; HM'!B87="","",'Teams &amp; HM'!B87)</f>
        <v/>
      </c>
      <c r="F56" s="7"/>
      <c r="G56" s="7"/>
      <c r="H56" s="7"/>
      <c r="I56" s="7"/>
      <c r="J56" s="77" t="str">
        <f t="shared" si="0"/>
        <v/>
      </c>
      <c r="K56" s="110"/>
    </row>
    <row r="57" spans="1:11" hidden="1" x14ac:dyDescent="0.25">
      <c r="A57" s="72" t="str">
        <f>IF('Teams &amp; HM'!A82="","",'Teams &amp; HM'!A82)</f>
        <v/>
      </c>
      <c r="B57" s="72" t="str">
        <f>IF('Teams &amp; HM'!H88="","",'Teams &amp; HM'!H88)</f>
        <v/>
      </c>
      <c r="C57" s="72" t="str">
        <f>IF('Teams &amp; HM'!A88="","",'Teams &amp; HM'!A88)</f>
        <v/>
      </c>
      <c r="D57" s="72" t="str">
        <f>IF('Teams &amp; HM'!B88="","",'Teams &amp; HM'!B88)</f>
        <v/>
      </c>
      <c r="F57" s="7"/>
      <c r="G57" s="7"/>
      <c r="H57" s="7"/>
      <c r="I57" s="7"/>
      <c r="J57" s="77" t="str">
        <f t="shared" si="0"/>
        <v/>
      </c>
      <c r="K57" s="78"/>
    </row>
    <row r="58" spans="1:11" x14ac:dyDescent="0.25">
      <c r="A58" s="72" t="str">
        <f>IF('Teams &amp; HM'!A90="","",'Teams &amp; HM'!A90)</f>
        <v/>
      </c>
      <c r="B58" s="72" t="str">
        <f>IF('Teams &amp; HM'!H92="","",'Teams &amp; HM'!H92)</f>
        <v/>
      </c>
      <c r="C58" s="72" t="str">
        <f>IF('Teams &amp; HM'!A92="","",'Teams &amp; HM'!A92)</f>
        <v/>
      </c>
      <c r="D58" s="72" t="str">
        <f>IF('Teams &amp; HM'!B92="","",'Teams &amp; HM'!B92)</f>
        <v/>
      </c>
      <c r="F58" s="7"/>
      <c r="G58" s="7"/>
      <c r="H58" s="7"/>
      <c r="I58" s="7"/>
      <c r="J58" s="77" t="str">
        <f t="shared" si="0"/>
        <v/>
      </c>
      <c r="K58" s="108" t="str">
        <f>IF(J58="","",IF(COUNT(J58:J61)=4,(SUM(J58:J61)-MIN(J58:J61)),SUM(J58:J60)))</f>
        <v/>
      </c>
    </row>
    <row r="59" spans="1:11" x14ac:dyDescent="0.25">
      <c r="A59" s="72" t="str">
        <f>IF('Teams &amp; HM'!A90="","",'Teams &amp; HM'!A90)</f>
        <v/>
      </c>
      <c r="B59" s="72" t="str">
        <f>IF('Teams &amp; HM'!H93="","",'Teams &amp; HM'!H93)</f>
        <v/>
      </c>
      <c r="C59" s="72" t="str">
        <f>IF('Teams &amp; HM'!A93="","",'Teams &amp; HM'!A93)</f>
        <v/>
      </c>
      <c r="D59" s="72" t="str">
        <f>IF('Teams &amp; HM'!B93="","",'Teams &amp; HM'!B93)</f>
        <v/>
      </c>
      <c r="F59" s="7"/>
      <c r="G59" s="7"/>
      <c r="H59" s="7"/>
      <c r="I59" s="7"/>
      <c r="J59" s="77" t="str">
        <f t="shared" si="0"/>
        <v/>
      </c>
      <c r="K59" s="109"/>
    </row>
    <row r="60" spans="1:11" x14ac:dyDescent="0.25">
      <c r="A60" s="72" t="str">
        <f>IF('Teams &amp; HM'!A90="","",'Teams &amp; HM'!A90)</f>
        <v/>
      </c>
      <c r="B60" s="72" t="str">
        <f>IF('Teams &amp; HM'!H94="","",'Teams &amp; HM'!H94)</f>
        <v/>
      </c>
      <c r="C60" s="72" t="str">
        <f>IF('Teams &amp; HM'!A94="","",'Teams &amp; HM'!A94)</f>
        <v/>
      </c>
      <c r="D60" s="72" t="str">
        <f>IF('Teams &amp; HM'!B94="","",'Teams &amp; HM'!B94)</f>
        <v/>
      </c>
      <c r="F60" s="7"/>
      <c r="G60" s="7"/>
      <c r="H60" s="7"/>
      <c r="I60" s="7"/>
      <c r="J60" s="77" t="str">
        <f t="shared" si="0"/>
        <v/>
      </c>
      <c r="K60" s="109"/>
    </row>
    <row r="61" spans="1:11" x14ac:dyDescent="0.25">
      <c r="A61" s="72" t="str">
        <f>IF('Teams &amp; HM'!A90="","",'Teams &amp; HM'!A90)</f>
        <v/>
      </c>
      <c r="B61" s="72" t="str">
        <f>IF('Teams &amp; HM'!H95="","",'Teams &amp; HM'!H95)</f>
        <v/>
      </c>
      <c r="C61" s="72" t="str">
        <f>IF('Teams &amp; HM'!A95="","",'Teams &amp; HM'!A95)</f>
        <v/>
      </c>
      <c r="D61" s="72" t="str">
        <f>IF('Teams &amp; HM'!B95="","",'Teams &amp; HM'!B95)</f>
        <v/>
      </c>
      <c r="F61" s="7"/>
      <c r="G61" s="7"/>
      <c r="H61" s="7"/>
      <c r="I61" s="7"/>
      <c r="J61" s="77" t="str">
        <f t="shared" si="0"/>
        <v/>
      </c>
      <c r="K61" s="110"/>
    </row>
    <row r="62" spans="1:11" hidden="1" x14ac:dyDescent="0.25">
      <c r="A62" s="72" t="str">
        <f>IF('Teams &amp; HM'!A90="","",'Teams &amp; HM'!A90)</f>
        <v/>
      </c>
      <c r="B62" s="72" t="str">
        <f>IF('Teams &amp; HM'!H96="","",'Teams &amp; HM'!H96)</f>
        <v/>
      </c>
      <c r="C62" s="72" t="str">
        <f>IF('Teams &amp; HM'!A96="","",'Teams &amp; HM'!A96)</f>
        <v/>
      </c>
      <c r="D62" s="72" t="str">
        <f>IF('Teams &amp; HM'!B96="","",'Teams &amp; HM'!B96)</f>
        <v/>
      </c>
      <c r="F62" s="7"/>
      <c r="G62" s="7"/>
      <c r="H62" s="7"/>
      <c r="I62" s="7"/>
      <c r="J62" s="77" t="str">
        <f t="shared" si="0"/>
        <v/>
      </c>
      <c r="K62" s="78"/>
    </row>
    <row r="63" spans="1:11" x14ac:dyDescent="0.25">
      <c r="A63" s="72" t="str">
        <f>IF('Teams &amp; HM'!A98="","",'Teams &amp; HM'!A98)</f>
        <v/>
      </c>
      <c r="B63" s="72" t="str">
        <f>IF('Teams &amp; HM'!H100="","",'Teams &amp; HM'!H100)</f>
        <v/>
      </c>
      <c r="C63" s="72" t="str">
        <f>IF('Teams &amp; HM'!A100="","",'Teams &amp; HM'!A100)</f>
        <v/>
      </c>
      <c r="D63" s="72" t="str">
        <f>IF('Teams &amp; HM'!B100="","",'Teams &amp; HM'!B100)</f>
        <v/>
      </c>
      <c r="F63" s="7"/>
      <c r="G63" s="7"/>
      <c r="H63" s="7"/>
      <c r="I63" s="7"/>
      <c r="J63" s="77" t="str">
        <f t="shared" si="0"/>
        <v/>
      </c>
      <c r="K63" s="108" t="str">
        <f>IF(J63="","",IF(COUNT(J63:J66)=4,(SUM(J63:J66)-MIN(J63:J66)),SUM(J63:J65)))</f>
        <v/>
      </c>
    </row>
    <row r="64" spans="1:11" x14ac:dyDescent="0.25">
      <c r="A64" s="72" t="str">
        <f>IF('Teams &amp; HM'!A98="","",'Teams &amp; HM'!A98)</f>
        <v/>
      </c>
      <c r="B64" s="72" t="str">
        <f>IF('Teams &amp; HM'!H101="","",'Teams &amp; HM'!H101)</f>
        <v/>
      </c>
      <c r="C64" s="72" t="str">
        <f>IF('Teams &amp; HM'!A101="","",'Teams &amp; HM'!A101)</f>
        <v/>
      </c>
      <c r="D64" s="72" t="str">
        <f>IF('Teams &amp; HM'!B101="","",'Teams &amp; HM'!B101)</f>
        <v/>
      </c>
      <c r="F64" s="7"/>
      <c r="G64" s="7"/>
      <c r="H64" s="7"/>
      <c r="I64" s="7"/>
      <c r="J64" s="77" t="str">
        <f t="shared" si="0"/>
        <v/>
      </c>
      <c r="K64" s="109"/>
    </row>
    <row r="65" spans="1:11" x14ac:dyDescent="0.25">
      <c r="A65" s="72" t="str">
        <f>IF('Teams &amp; HM'!A98="","",'Teams &amp; HM'!A98)</f>
        <v/>
      </c>
      <c r="B65" s="72" t="str">
        <f>IF('Teams &amp; HM'!H102="","",'Teams &amp; HM'!H102)</f>
        <v/>
      </c>
      <c r="C65" s="72" t="str">
        <f>IF('Teams &amp; HM'!A102="","",'Teams &amp; HM'!A102)</f>
        <v/>
      </c>
      <c r="D65" s="72" t="str">
        <f>IF('Teams &amp; HM'!B102="","",'Teams &amp; HM'!B102)</f>
        <v/>
      </c>
      <c r="F65" s="7"/>
      <c r="G65" s="7"/>
      <c r="H65" s="7"/>
      <c r="I65" s="7"/>
      <c r="J65" s="77" t="str">
        <f t="shared" si="0"/>
        <v/>
      </c>
      <c r="K65" s="109"/>
    </row>
    <row r="66" spans="1:11" x14ac:dyDescent="0.25">
      <c r="A66" s="72" t="str">
        <f>IF('Teams &amp; HM'!A98="","",'Teams &amp; HM'!A98)</f>
        <v/>
      </c>
      <c r="B66" s="72" t="str">
        <f>IF('Teams &amp; HM'!H103="","",'Teams &amp; HM'!H103)</f>
        <v/>
      </c>
      <c r="C66" s="72" t="str">
        <f>IF('Teams &amp; HM'!A103="","",'Teams &amp; HM'!A103)</f>
        <v/>
      </c>
      <c r="D66" s="72" t="str">
        <f>IF('Teams &amp; HM'!B103="","",'Teams &amp; HM'!B103)</f>
        <v/>
      </c>
      <c r="F66" s="7"/>
      <c r="G66" s="7"/>
      <c r="H66" s="7"/>
      <c r="I66" s="7"/>
      <c r="J66" s="77" t="str">
        <f t="shared" si="0"/>
        <v/>
      </c>
      <c r="K66" s="110"/>
    </row>
    <row r="67" spans="1:11" hidden="1" x14ac:dyDescent="0.25">
      <c r="A67" s="72" t="str">
        <f>IF('Teams &amp; HM'!A98="","",'Teams &amp; HM'!A98)</f>
        <v/>
      </c>
      <c r="B67" s="72" t="str">
        <f>IF('Teams &amp; HM'!H104="","",'Teams &amp; HM'!H104)</f>
        <v/>
      </c>
      <c r="C67" s="72" t="str">
        <f>IF('Teams &amp; HM'!A104="","",'Teams &amp; HM'!A104)</f>
        <v/>
      </c>
      <c r="D67" s="72" t="str">
        <f>IF('Teams &amp; HM'!B104="","",'Teams &amp; HM'!B104)</f>
        <v/>
      </c>
      <c r="F67" s="7"/>
      <c r="G67" s="7"/>
      <c r="H67" s="7"/>
      <c r="I67" s="7"/>
      <c r="J67" s="77" t="str">
        <f t="shared" si="0"/>
        <v/>
      </c>
      <c r="K67" s="78"/>
    </row>
    <row r="68" spans="1:11" x14ac:dyDescent="0.25">
      <c r="A68" s="72" t="str">
        <f>IF('Teams &amp; HM'!A106="","",'Teams &amp; HM'!A106)</f>
        <v/>
      </c>
      <c r="B68" s="72" t="str">
        <f>IF('Teams &amp; HM'!H108="","",'Teams &amp; HM'!H108)</f>
        <v/>
      </c>
      <c r="C68" s="72" t="str">
        <f>IF('Teams &amp; HM'!A108="","",'Teams &amp; HM'!A108)</f>
        <v/>
      </c>
      <c r="D68" s="72" t="str">
        <f>IF('Teams &amp; HM'!B108="","",'Teams &amp; HM'!B108)</f>
        <v/>
      </c>
      <c r="F68" s="7"/>
      <c r="G68" s="7"/>
      <c r="H68" s="7"/>
      <c r="I68" s="7"/>
      <c r="J68" s="77" t="str">
        <f t="shared" ref="J68:J82" si="1">IF(H68="","",(H68-I68))</f>
        <v/>
      </c>
      <c r="K68" s="108" t="str">
        <f>IF(J68="","",IF(COUNT(J68:J71)=4,(SUM(J68:J71)-MIN(J68:J71)),SUM(J68:J70)))</f>
        <v/>
      </c>
    </row>
    <row r="69" spans="1:11" x14ac:dyDescent="0.25">
      <c r="A69" s="72" t="str">
        <f>IF('Teams &amp; HM'!A106="","",'Teams &amp; HM'!A106)</f>
        <v/>
      </c>
      <c r="B69" s="72" t="str">
        <f>IF('Teams &amp; HM'!H109="","",'Teams &amp; HM'!H109)</f>
        <v/>
      </c>
      <c r="C69" s="72" t="str">
        <f>IF('Teams &amp; HM'!A109="","",'Teams &amp; HM'!A109)</f>
        <v/>
      </c>
      <c r="D69" s="72" t="str">
        <f>IF('Teams &amp; HM'!B109="","",'Teams &amp; HM'!B109)</f>
        <v/>
      </c>
      <c r="F69" s="7"/>
      <c r="G69" s="7"/>
      <c r="H69" s="7"/>
      <c r="I69" s="7"/>
      <c r="J69" s="77" t="str">
        <f t="shared" si="1"/>
        <v/>
      </c>
      <c r="K69" s="109"/>
    </row>
    <row r="70" spans="1:11" x14ac:dyDescent="0.25">
      <c r="A70" s="72" t="str">
        <f>IF('Teams &amp; HM'!A106="","",'Teams &amp; HM'!A106)</f>
        <v/>
      </c>
      <c r="B70" s="72" t="str">
        <f>IF('Teams &amp; HM'!H110="","",'Teams &amp; HM'!H110)</f>
        <v/>
      </c>
      <c r="C70" s="72" t="str">
        <f>IF('Teams &amp; HM'!A110="","",'Teams &amp; HM'!A110)</f>
        <v/>
      </c>
      <c r="D70" s="72" t="str">
        <f>IF('Teams &amp; HM'!B110="","",'Teams &amp; HM'!B110)</f>
        <v/>
      </c>
      <c r="F70" s="7"/>
      <c r="G70" s="7"/>
      <c r="H70" s="7"/>
      <c r="I70" s="7"/>
      <c r="J70" s="77" t="str">
        <f t="shared" si="1"/>
        <v/>
      </c>
      <c r="K70" s="109"/>
    </row>
    <row r="71" spans="1:11" x14ac:dyDescent="0.25">
      <c r="A71" s="72" t="str">
        <f>IF('Teams &amp; HM'!A106="","",'Teams &amp; HM'!A106)</f>
        <v/>
      </c>
      <c r="B71" s="72" t="str">
        <f>IF('Teams &amp; HM'!H111="","",'Teams &amp; HM'!H111)</f>
        <v/>
      </c>
      <c r="C71" s="72" t="str">
        <f>IF('Teams &amp; HM'!A111="","",'Teams &amp; HM'!A111)</f>
        <v/>
      </c>
      <c r="D71" s="72" t="str">
        <f>IF('Teams &amp; HM'!B111="","",'Teams &amp; HM'!B111)</f>
        <v/>
      </c>
      <c r="F71" s="7"/>
      <c r="G71" s="7"/>
      <c r="H71" s="7"/>
      <c r="I71" s="7"/>
      <c r="J71" s="77" t="str">
        <f t="shared" si="1"/>
        <v/>
      </c>
      <c r="K71" s="110"/>
    </row>
    <row r="72" spans="1:11" hidden="1" x14ac:dyDescent="0.25">
      <c r="A72" s="72" t="str">
        <f>IF('Teams &amp; HM'!A106="","",'Teams &amp; HM'!A106)</f>
        <v/>
      </c>
      <c r="B72" s="72" t="str">
        <f>IF('Teams &amp; HM'!H112="","",'Teams &amp; HM'!H112)</f>
        <v/>
      </c>
      <c r="C72" s="72" t="str">
        <f>IF('Teams &amp; HM'!A112="","",'Teams &amp; HM'!A112)</f>
        <v/>
      </c>
      <c r="D72" s="72" t="str">
        <f>IF('Teams &amp; HM'!B112="","",'Teams &amp; HM'!B112)</f>
        <v/>
      </c>
      <c r="F72" s="7"/>
      <c r="G72" s="7"/>
      <c r="H72" s="7"/>
      <c r="I72" s="7"/>
      <c r="J72" s="77" t="str">
        <f t="shared" si="1"/>
        <v/>
      </c>
      <c r="K72" s="78"/>
    </row>
    <row r="73" spans="1:11" x14ac:dyDescent="0.25">
      <c r="A73" s="72" t="str">
        <f>IF('Teams &amp; HM'!A114="","",'Teams &amp; HM'!A114)</f>
        <v/>
      </c>
      <c r="B73" s="72" t="str">
        <f>IF('Teams &amp; HM'!H116="","",'Teams &amp; HM'!H116)</f>
        <v/>
      </c>
      <c r="C73" s="72" t="str">
        <f>IF('Teams &amp; HM'!A116="","",'Teams &amp; HM'!A116)</f>
        <v/>
      </c>
      <c r="D73" s="72" t="str">
        <f>IF('Teams &amp; HM'!B116="","",'Teams &amp; HM'!B116)</f>
        <v/>
      </c>
      <c r="F73" s="7"/>
      <c r="G73" s="7"/>
      <c r="H73" s="7"/>
      <c r="I73" s="7"/>
      <c r="J73" s="77" t="str">
        <f t="shared" si="1"/>
        <v/>
      </c>
      <c r="K73" s="108" t="str">
        <f>IF(J73="","",IF(COUNT(J73:J76)=4,(SUM(J73:J76)-MIN(J73:J76)),SUM(J73:J75)))</f>
        <v/>
      </c>
    </row>
    <row r="74" spans="1:11" x14ac:dyDescent="0.25">
      <c r="A74" s="72" t="str">
        <f>IF('Teams &amp; HM'!A114="","",'Teams &amp; HM'!A114)</f>
        <v/>
      </c>
      <c r="B74" s="72" t="str">
        <f>IF('Teams &amp; HM'!H117="","",'Teams &amp; HM'!H117)</f>
        <v/>
      </c>
      <c r="C74" s="72" t="str">
        <f>IF('Teams &amp; HM'!A117="","",'Teams &amp; HM'!A117)</f>
        <v/>
      </c>
      <c r="D74" s="72" t="str">
        <f>IF('Teams &amp; HM'!B117="","",'Teams &amp; HM'!B117)</f>
        <v/>
      </c>
      <c r="F74" s="7"/>
      <c r="G74" s="7"/>
      <c r="H74" s="7"/>
      <c r="I74" s="7"/>
      <c r="J74" s="77" t="str">
        <f t="shared" si="1"/>
        <v/>
      </c>
      <c r="K74" s="109"/>
    </row>
    <row r="75" spans="1:11" x14ac:dyDescent="0.25">
      <c r="A75" s="72" t="str">
        <f>IF('Teams &amp; HM'!A114="","",'Teams &amp; HM'!A114)</f>
        <v/>
      </c>
      <c r="B75" s="72" t="str">
        <f>IF('Teams &amp; HM'!H118="","",'Teams &amp; HM'!H118)</f>
        <v/>
      </c>
      <c r="C75" s="72" t="str">
        <f>IF('Teams &amp; HM'!A118="","",'Teams &amp; HM'!A118)</f>
        <v/>
      </c>
      <c r="D75" s="72" t="str">
        <f>IF('Teams &amp; HM'!B118="","",'Teams &amp; HM'!B118)</f>
        <v/>
      </c>
      <c r="F75" s="7"/>
      <c r="G75" s="7"/>
      <c r="H75" s="7"/>
      <c r="I75" s="7"/>
      <c r="J75" s="77" t="str">
        <f t="shared" si="1"/>
        <v/>
      </c>
      <c r="K75" s="109"/>
    </row>
    <row r="76" spans="1:11" x14ac:dyDescent="0.25">
      <c r="A76" s="72" t="str">
        <f>IF('Teams &amp; HM'!A114="","",'Teams &amp; HM'!A114)</f>
        <v/>
      </c>
      <c r="B76" s="72" t="str">
        <f>IF('Teams &amp; HM'!H119="","",'Teams &amp; HM'!H119)</f>
        <v/>
      </c>
      <c r="C76" s="72" t="str">
        <f>IF('Teams &amp; HM'!A119="","",'Teams &amp; HM'!A119)</f>
        <v/>
      </c>
      <c r="D76" s="72" t="str">
        <f>IF('Teams &amp; HM'!B119="","",'Teams &amp; HM'!B119)</f>
        <v/>
      </c>
      <c r="F76" s="7"/>
      <c r="G76" s="7"/>
      <c r="H76" s="7"/>
      <c r="I76" s="7"/>
      <c r="J76" s="77" t="str">
        <f t="shared" si="1"/>
        <v/>
      </c>
      <c r="K76" s="110"/>
    </row>
    <row r="77" spans="1:11" hidden="1" x14ac:dyDescent="0.25">
      <c r="A77" s="72" t="str">
        <f>IF('Teams &amp; HM'!A114="","",'Teams &amp; HM'!A114)</f>
        <v/>
      </c>
      <c r="B77" s="72" t="str">
        <f>IF('Teams &amp; HM'!H120="","",'Teams &amp; HM'!H120)</f>
        <v/>
      </c>
      <c r="C77" s="72" t="str">
        <f>IF('Teams &amp; HM'!A120="","",'Teams &amp; HM'!A120)</f>
        <v/>
      </c>
      <c r="D77" s="72" t="str">
        <f>IF('Teams &amp; HM'!B120="","",'Teams &amp; HM'!B120)</f>
        <v/>
      </c>
      <c r="F77" s="7"/>
      <c r="G77" s="7"/>
      <c r="H77" s="7"/>
      <c r="I77" s="7"/>
      <c r="J77" s="77" t="str">
        <f t="shared" si="1"/>
        <v/>
      </c>
      <c r="K77" s="78"/>
    </row>
    <row r="78" spans="1:11" x14ac:dyDescent="0.25">
      <c r="A78" s="72" t="str">
        <f>IF('Teams &amp; HM'!A122="","",'Teams &amp; HM'!A122)</f>
        <v/>
      </c>
      <c r="B78" s="72" t="str">
        <f>IF('Teams &amp; HM'!H124="","",'Teams &amp; HM'!H124)</f>
        <v/>
      </c>
      <c r="C78" s="72" t="str">
        <f>IF('Teams &amp; HM'!A124="","",'Teams &amp; HM'!A124)</f>
        <v/>
      </c>
      <c r="D78" s="72" t="str">
        <f>IF('Teams &amp; HM'!B124="","",'Teams &amp; HM'!B124)</f>
        <v/>
      </c>
      <c r="F78" s="7"/>
      <c r="G78" s="7"/>
      <c r="H78" s="7"/>
      <c r="I78" s="7"/>
      <c r="J78" s="77" t="str">
        <f t="shared" si="1"/>
        <v/>
      </c>
      <c r="K78" s="108" t="str">
        <f>IF(J78="","",IF(COUNT(J78:J81)=4,(SUM(J78:J81)-MIN(J78:J81)),SUM(J78:J80)))</f>
        <v/>
      </c>
    </row>
    <row r="79" spans="1:11" x14ac:dyDescent="0.25">
      <c r="A79" s="72" t="str">
        <f>IF('Teams &amp; HM'!A122="","",'Teams &amp; HM'!A122)</f>
        <v/>
      </c>
      <c r="B79" s="72" t="str">
        <f>IF('Teams &amp; HM'!H125="","",'Teams &amp; HM'!H125)</f>
        <v/>
      </c>
      <c r="C79" s="72" t="str">
        <f>IF('Teams &amp; HM'!A125="","",'Teams &amp; HM'!A125)</f>
        <v/>
      </c>
      <c r="D79" s="72" t="str">
        <f>IF('Teams &amp; HM'!B125="","",'Teams &amp; HM'!B125)</f>
        <v/>
      </c>
      <c r="F79" s="7"/>
      <c r="G79" s="7"/>
      <c r="H79" s="7"/>
      <c r="I79" s="7"/>
      <c r="J79" s="77" t="str">
        <f t="shared" si="1"/>
        <v/>
      </c>
      <c r="K79" s="109"/>
    </row>
    <row r="80" spans="1:11" x14ac:dyDescent="0.25">
      <c r="A80" s="72" t="str">
        <f>IF('Teams &amp; HM'!A122="","",'Teams &amp; HM'!A122)</f>
        <v/>
      </c>
      <c r="B80" s="72" t="str">
        <f>IF('Teams &amp; HM'!H126="","",'Teams &amp; HM'!H126)</f>
        <v/>
      </c>
      <c r="C80" s="72" t="str">
        <f>IF('Teams &amp; HM'!A126="","",'Teams &amp; HM'!A126)</f>
        <v/>
      </c>
      <c r="D80" s="72" t="str">
        <f>IF('Teams &amp; HM'!B126="","",'Teams &amp; HM'!B126)</f>
        <v/>
      </c>
      <c r="F80" s="7"/>
      <c r="G80" s="7"/>
      <c r="H80" s="7"/>
      <c r="I80" s="7"/>
      <c r="J80" s="77" t="str">
        <f t="shared" si="1"/>
        <v/>
      </c>
      <c r="K80" s="109"/>
    </row>
    <row r="81" spans="1:11" x14ac:dyDescent="0.25">
      <c r="A81" s="72" t="str">
        <f>IF('Teams &amp; HM'!A122="","",'Teams &amp; HM'!A122)</f>
        <v/>
      </c>
      <c r="B81" s="72" t="str">
        <f>IF('Teams &amp; HM'!H127="","",'Teams &amp; HM'!H127)</f>
        <v/>
      </c>
      <c r="C81" s="72" t="str">
        <f>IF('Teams &amp; HM'!A127="","",'Teams &amp; HM'!A127)</f>
        <v/>
      </c>
      <c r="D81" s="72" t="str">
        <f>IF('Teams &amp; HM'!B127="","",'Teams &amp; HM'!B127)</f>
        <v/>
      </c>
      <c r="F81" s="7"/>
      <c r="G81" s="7"/>
      <c r="H81" s="7"/>
      <c r="I81" s="7"/>
      <c r="J81" s="77" t="str">
        <f t="shared" si="1"/>
        <v/>
      </c>
      <c r="K81" s="110"/>
    </row>
    <row r="82" spans="1:11" hidden="1" x14ac:dyDescent="0.25">
      <c r="A82" s="72" t="str">
        <f>IF('Teams &amp; HM'!A122="","",'Teams &amp; HM'!A122)</f>
        <v/>
      </c>
      <c r="B82" s="72" t="str">
        <f>IF('Teams &amp; HM'!H128="","",'Teams &amp; HM'!H128)</f>
        <v/>
      </c>
      <c r="C82" s="72" t="str">
        <f>IF('Teams &amp; HM'!A128="","",'Teams &amp; HM'!A128)</f>
        <v/>
      </c>
      <c r="D82" s="72" t="str">
        <f>IF('Teams &amp; HM'!B128="","",'Teams &amp; HM'!B128)</f>
        <v/>
      </c>
      <c r="F82" s="7"/>
      <c r="G82" s="7"/>
      <c r="H82" s="7"/>
      <c r="I82" s="7"/>
      <c r="J82" s="77" t="str">
        <f t="shared" si="1"/>
        <v/>
      </c>
      <c r="K82" s="78"/>
    </row>
    <row r="83" spans="1:11" x14ac:dyDescent="0.25">
      <c r="A83" s="72" t="str">
        <f>IF('Teams &amp; HM'!A130="","",'Teams &amp; HM'!A130)</f>
        <v/>
      </c>
      <c r="B83" s="72" t="str">
        <f>IF('Teams &amp; HM'!H132="","",'Teams &amp; HM'!H132)</f>
        <v/>
      </c>
      <c r="C83" s="72" t="str">
        <f>IF('Teams &amp; HM'!A132="","",'Teams &amp; HM'!A132)</f>
        <v/>
      </c>
      <c r="D83" s="72" t="str">
        <f>IF('Teams &amp; HM'!B132="","",'Teams &amp; HM'!B132)</f>
        <v/>
      </c>
      <c r="H83" s="7"/>
      <c r="I83" s="7"/>
      <c r="J83" s="77" t="str">
        <f t="shared" ref="J83:J102" si="2">IF(H83="","",(H83-I83))</f>
        <v/>
      </c>
      <c r="K83" s="108" t="str">
        <f>IF(J83="","",IF(COUNT(J83:J86)=4,(SUM(J83:J86)-MIN(J83:J86)),SUM(J83:J85)))</f>
        <v/>
      </c>
    </row>
    <row r="84" spans="1:11" x14ac:dyDescent="0.25">
      <c r="A84" s="72" t="str">
        <f>IF('Teams &amp; HM'!A130="","",'Teams &amp; HM'!A130)</f>
        <v/>
      </c>
      <c r="B84" s="72" t="str">
        <f>IF('Teams &amp; HM'!H133="","",'Teams &amp; HM'!H133)</f>
        <v/>
      </c>
      <c r="C84" s="72" t="str">
        <f>IF('Teams &amp; HM'!A133="","",'Teams &amp; HM'!A133)</f>
        <v/>
      </c>
      <c r="D84" s="72" t="str">
        <f>IF('Teams &amp; HM'!B133="","",'Teams &amp; HM'!B133)</f>
        <v/>
      </c>
      <c r="H84" s="7"/>
      <c r="I84" s="7"/>
      <c r="J84" s="77" t="str">
        <f t="shared" si="2"/>
        <v/>
      </c>
      <c r="K84" s="109"/>
    </row>
    <row r="85" spans="1:11" x14ac:dyDescent="0.25">
      <c r="A85" s="72" t="str">
        <f>IF('Teams &amp; HM'!A130="","",'Teams &amp; HM'!A130)</f>
        <v/>
      </c>
      <c r="B85" s="72" t="str">
        <f>IF('Teams &amp; HM'!H134="","",'Teams &amp; HM'!H134)</f>
        <v/>
      </c>
      <c r="C85" s="72" t="str">
        <f>IF('Teams &amp; HM'!A134="","",'Teams &amp; HM'!A134)</f>
        <v/>
      </c>
      <c r="D85" s="72" t="str">
        <f>IF('Teams &amp; HM'!B134="","",'Teams &amp; HM'!B134)</f>
        <v/>
      </c>
      <c r="H85" s="7"/>
      <c r="I85" s="7"/>
      <c r="J85" s="77" t="str">
        <f t="shared" si="2"/>
        <v/>
      </c>
      <c r="K85" s="109"/>
    </row>
    <row r="86" spans="1:11" x14ac:dyDescent="0.25">
      <c r="A86" s="72" t="str">
        <f>IF('Teams &amp; HM'!A130="","",'Teams &amp; HM'!A130)</f>
        <v/>
      </c>
      <c r="B86" s="72" t="str">
        <f>IF('Teams &amp; HM'!H135="","",'Teams &amp; HM'!H135)</f>
        <v/>
      </c>
      <c r="C86" s="72" t="str">
        <f>IF('Teams &amp; HM'!A135="","",'Teams &amp; HM'!A135)</f>
        <v/>
      </c>
      <c r="D86" s="72" t="str">
        <f>IF('Teams &amp; HM'!B135="","",'Teams &amp; HM'!B135)</f>
        <v/>
      </c>
      <c r="H86" s="7"/>
      <c r="I86" s="7"/>
      <c r="J86" s="77" t="str">
        <f t="shared" si="2"/>
        <v/>
      </c>
      <c r="K86" s="110"/>
    </row>
    <row r="87" spans="1:11" hidden="1" x14ac:dyDescent="0.25">
      <c r="A87" s="72" t="str">
        <f>IF('Teams &amp; HM'!A130="","",'Teams &amp; HM'!A130)</f>
        <v/>
      </c>
      <c r="B87" s="72" t="str">
        <f>IF('Teams &amp; HM'!H136="","",'Teams &amp; HM'!H136)</f>
        <v/>
      </c>
      <c r="C87" s="72" t="str">
        <f>IF('Teams &amp; HM'!A136="","",'Teams &amp; HM'!A136)</f>
        <v/>
      </c>
      <c r="D87" s="72" t="str">
        <f>IF('Teams &amp; HM'!B136="","",'Teams &amp; HM'!B136)</f>
        <v/>
      </c>
      <c r="H87" s="7"/>
      <c r="I87" s="7"/>
      <c r="J87" s="77" t="str">
        <f t="shared" si="2"/>
        <v/>
      </c>
      <c r="K87" s="78"/>
    </row>
    <row r="88" spans="1:11" x14ac:dyDescent="0.25">
      <c r="A88" s="72" t="str">
        <f>IF('Teams &amp; HM'!A138="","",'Teams &amp; HM'!A138)</f>
        <v/>
      </c>
      <c r="B88" s="72" t="str">
        <f>IF('Teams &amp; HM'!H140="","",'Teams &amp; HM'!H140)</f>
        <v/>
      </c>
      <c r="C88" s="72" t="str">
        <f>IF('Teams &amp; HM'!A140="","",'Teams &amp; HM'!A140)</f>
        <v/>
      </c>
      <c r="D88" s="72" t="str">
        <f>IF('Teams &amp; HM'!B140="","",'Teams &amp; HM'!B140)</f>
        <v/>
      </c>
      <c r="H88" s="7"/>
      <c r="I88" s="7"/>
      <c r="J88" s="77" t="str">
        <f t="shared" si="2"/>
        <v/>
      </c>
      <c r="K88" s="108" t="str">
        <f>IF(J88="","",IF(COUNT(J88:J91)=4,(SUM(J88:J91)-MIN(J88:J91)),SUM(J88:J90)))</f>
        <v/>
      </c>
    </row>
    <row r="89" spans="1:11" x14ac:dyDescent="0.25">
      <c r="A89" s="72" t="str">
        <f>IF('Teams &amp; HM'!A138="","",'Teams &amp; HM'!A138)</f>
        <v/>
      </c>
      <c r="B89" s="72" t="str">
        <f>IF('Teams &amp; HM'!H141="","",'Teams &amp; HM'!H141)</f>
        <v/>
      </c>
      <c r="C89" s="72" t="str">
        <f>IF('Teams &amp; HM'!A141="","",'Teams &amp; HM'!A141)</f>
        <v/>
      </c>
      <c r="D89" s="72" t="str">
        <f>IF('Teams &amp; HM'!B141="","",'Teams &amp; HM'!B141)</f>
        <v/>
      </c>
      <c r="H89" s="7"/>
      <c r="I89" s="7"/>
      <c r="J89" s="77" t="str">
        <f t="shared" si="2"/>
        <v/>
      </c>
      <c r="K89" s="109"/>
    </row>
    <row r="90" spans="1:11" x14ac:dyDescent="0.25">
      <c r="A90" s="72" t="str">
        <f>IF('Teams &amp; HM'!A138="","",'Teams &amp; HM'!A138)</f>
        <v/>
      </c>
      <c r="B90" s="72" t="str">
        <f>IF('Teams &amp; HM'!H142="","",'Teams &amp; HM'!H142)</f>
        <v/>
      </c>
      <c r="C90" s="72" t="str">
        <f>IF('Teams &amp; HM'!A142="","",'Teams &amp; HM'!A142)</f>
        <v/>
      </c>
      <c r="D90" s="72" t="str">
        <f>IF('Teams &amp; HM'!B142="","",'Teams &amp; HM'!B142)</f>
        <v/>
      </c>
      <c r="H90" s="7"/>
      <c r="I90" s="7"/>
      <c r="J90" s="77" t="str">
        <f t="shared" si="2"/>
        <v/>
      </c>
      <c r="K90" s="109"/>
    </row>
    <row r="91" spans="1:11" x14ac:dyDescent="0.25">
      <c r="A91" s="72" t="str">
        <f>IF('Teams &amp; HM'!A138="","",'Teams &amp; HM'!A138)</f>
        <v/>
      </c>
      <c r="B91" s="72" t="str">
        <f>IF('Teams &amp; HM'!H143="","",'Teams &amp; HM'!H143)</f>
        <v/>
      </c>
      <c r="C91" s="72" t="str">
        <f>IF('Teams &amp; HM'!A143="","",'Teams &amp; HM'!A143)</f>
        <v/>
      </c>
      <c r="D91" s="72" t="str">
        <f>IF('Teams &amp; HM'!B143="","",'Teams &amp; HM'!B143)</f>
        <v/>
      </c>
      <c r="H91" s="7"/>
      <c r="I91" s="7"/>
      <c r="J91" s="77" t="str">
        <f t="shared" si="2"/>
        <v/>
      </c>
      <c r="K91" s="110"/>
    </row>
    <row r="92" spans="1:11" hidden="1" x14ac:dyDescent="0.25">
      <c r="A92" s="72" t="str">
        <f>IF('Teams &amp; HM'!A138="","",'Teams &amp; HM'!A138)</f>
        <v/>
      </c>
      <c r="B92" s="72" t="str">
        <f>IF('Teams &amp; HM'!H144="","",'Teams &amp; HM'!H144)</f>
        <v/>
      </c>
      <c r="C92" s="72" t="str">
        <f>IF('Teams &amp; HM'!A144="","",'Teams &amp; HM'!A144)</f>
        <v/>
      </c>
      <c r="D92" s="72" t="str">
        <f>IF('Teams &amp; HM'!B144="","",'Teams &amp; HM'!B144)</f>
        <v/>
      </c>
      <c r="H92" s="7"/>
      <c r="I92" s="7"/>
      <c r="J92" s="77" t="str">
        <f t="shared" si="2"/>
        <v/>
      </c>
      <c r="K92" s="78"/>
    </row>
    <row r="93" spans="1:11" x14ac:dyDescent="0.25">
      <c r="A93" s="72" t="str">
        <f>IF('Teams &amp; HM'!A146="","",'Teams &amp; HM'!A146)</f>
        <v/>
      </c>
      <c r="B93" s="72" t="str">
        <f>IF('Teams &amp; HM'!H148="","",'Teams &amp; HM'!H148)</f>
        <v/>
      </c>
      <c r="C93" s="72" t="str">
        <f>IF('Teams &amp; HM'!A148="","",'Teams &amp; HM'!A148)</f>
        <v/>
      </c>
      <c r="D93" s="72" t="str">
        <f>IF('Teams &amp; HM'!B148="","",'Teams &amp; HM'!B148)</f>
        <v/>
      </c>
      <c r="H93" s="7"/>
      <c r="I93" s="7"/>
      <c r="J93" s="77" t="str">
        <f t="shared" si="2"/>
        <v/>
      </c>
      <c r="K93" s="108" t="str">
        <f>IF(J93="","",IF(COUNT(J93:J96)=4,(SUM(J93:J96)-MIN(J93:J96)),SUM(J93:J95)))</f>
        <v/>
      </c>
    </row>
    <row r="94" spans="1:11" x14ac:dyDescent="0.25">
      <c r="A94" s="72" t="str">
        <f>IF('Teams &amp; HM'!A146="","",'Teams &amp; HM'!A146)</f>
        <v/>
      </c>
      <c r="B94" s="72" t="str">
        <f>IF('Teams &amp; HM'!H149="","",'Teams &amp; HM'!H149)</f>
        <v/>
      </c>
      <c r="C94" s="72" t="str">
        <f>IF('Teams &amp; HM'!A149="","",'Teams &amp; HM'!A149)</f>
        <v/>
      </c>
      <c r="D94" s="72" t="str">
        <f>IF('Teams &amp; HM'!B149="","",'Teams &amp; HM'!B149)</f>
        <v/>
      </c>
      <c r="H94" s="7"/>
      <c r="I94" s="7"/>
      <c r="J94" s="77" t="str">
        <f t="shared" si="2"/>
        <v/>
      </c>
      <c r="K94" s="109"/>
    </row>
    <row r="95" spans="1:11" x14ac:dyDescent="0.25">
      <c r="A95" s="72" t="str">
        <f>IF('Teams &amp; HM'!A146="","",'Teams &amp; HM'!A146)</f>
        <v/>
      </c>
      <c r="B95" s="72" t="str">
        <f>IF('Teams &amp; HM'!H150="","",'Teams &amp; HM'!H150)</f>
        <v/>
      </c>
      <c r="C95" s="72" t="str">
        <f>IF('Teams &amp; HM'!A150="","",'Teams &amp; HM'!A150)</f>
        <v/>
      </c>
      <c r="D95" s="72" t="str">
        <f>IF('Teams &amp; HM'!B150="","",'Teams &amp; HM'!B150)</f>
        <v/>
      </c>
      <c r="H95" s="7"/>
      <c r="I95" s="7"/>
      <c r="J95" s="77" t="str">
        <f t="shared" si="2"/>
        <v/>
      </c>
      <c r="K95" s="109"/>
    </row>
    <row r="96" spans="1:11" x14ac:dyDescent="0.25">
      <c r="A96" s="72" t="str">
        <f>IF('Teams &amp; HM'!A146="","",'Teams &amp; HM'!A146)</f>
        <v/>
      </c>
      <c r="B96" s="72" t="str">
        <f>IF('Teams &amp; HM'!H151="","",'Teams &amp; HM'!H151)</f>
        <v/>
      </c>
      <c r="C96" s="72" t="str">
        <f>IF('Teams &amp; HM'!A151="","",'Teams &amp; HM'!A151)</f>
        <v/>
      </c>
      <c r="D96" s="72" t="str">
        <f>IF('Teams &amp; HM'!B151="","",'Teams &amp; HM'!B151)</f>
        <v/>
      </c>
      <c r="H96" s="7"/>
      <c r="I96" s="7"/>
      <c r="J96" s="77" t="str">
        <f t="shared" si="2"/>
        <v/>
      </c>
      <c r="K96" s="110"/>
    </row>
    <row r="97" spans="1:11" hidden="1" x14ac:dyDescent="0.25">
      <c r="A97" s="72" t="str">
        <f>IF('Teams &amp; HM'!A146="","",'Teams &amp; HM'!A146)</f>
        <v/>
      </c>
      <c r="B97" s="72" t="str">
        <f>IF('Teams &amp; HM'!H152="","",'Teams &amp; HM'!H152)</f>
        <v/>
      </c>
      <c r="C97" s="72" t="str">
        <f>IF('Teams &amp; HM'!A152="","",'Teams &amp; HM'!A152)</f>
        <v/>
      </c>
      <c r="D97" s="72" t="str">
        <f>IF('Teams &amp; HM'!B152="","",'Teams &amp; HM'!B152)</f>
        <v/>
      </c>
      <c r="H97" s="7"/>
      <c r="I97" s="7"/>
      <c r="J97" s="77" t="str">
        <f t="shared" si="2"/>
        <v/>
      </c>
      <c r="K97" s="78"/>
    </row>
    <row r="98" spans="1:11" x14ac:dyDescent="0.25">
      <c r="A98" s="72" t="str">
        <f>IF('Teams &amp; HM'!A154="","",'Teams &amp; HM'!A154)</f>
        <v/>
      </c>
      <c r="B98" s="72" t="str">
        <f>IF('Teams &amp; HM'!H156="","",'Teams &amp; HM'!H156)</f>
        <v/>
      </c>
      <c r="C98" s="72" t="str">
        <f>IF('Teams &amp; HM'!A156="","",'Teams &amp; HM'!A156)</f>
        <v/>
      </c>
      <c r="D98" s="72" t="str">
        <f>IF('Teams &amp; HM'!B156="","",'Teams &amp; HM'!B156)</f>
        <v/>
      </c>
      <c r="H98" s="7"/>
      <c r="I98" s="7"/>
      <c r="J98" s="77" t="str">
        <f t="shared" si="2"/>
        <v/>
      </c>
      <c r="K98" s="108" t="str">
        <f>IF(J98="","",IF(COUNT(J98:J101)=4,(SUM(J98:J101)-MIN(J98:J101)),SUM(J98:J100)))</f>
        <v/>
      </c>
    </row>
    <row r="99" spans="1:11" x14ac:dyDescent="0.25">
      <c r="A99" s="72" t="str">
        <f>IF('Teams &amp; HM'!A154="","",'Teams &amp; HM'!A154)</f>
        <v/>
      </c>
      <c r="B99" s="72" t="str">
        <f>IF('Teams &amp; HM'!H157="","",'Teams &amp; HM'!H157)</f>
        <v/>
      </c>
      <c r="C99" s="72" t="str">
        <f>IF('Teams &amp; HM'!A157="","",'Teams &amp; HM'!A157)</f>
        <v/>
      </c>
      <c r="D99" s="72" t="str">
        <f>IF('Teams &amp; HM'!B157="","",'Teams &amp; HM'!B157)</f>
        <v/>
      </c>
      <c r="H99" s="7"/>
      <c r="I99" s="7"/>
      <c r="J99" s="77" t="str">
        <f t="shared" si="2"/>
        <v/>
      </c>
      <c r="K99" s="109"/>
    </row>
    <row r="100" spans="1:11" x14ac:dyDescent="0.25">
      <c r="A100" s="72" t="str">
        <f>IF('Teams &amp; HM'!A154="","",'Teams &amp; HM'!A154)</f>
        <v/>
      </c>
      <c r="B100" s="72" t="str">
        <f>IF('Teams &amp; HM'!H158="","",'Teams &amp; HM'!H158)</f>
        <v/>
      </c>
      <c r="C100" s="72" t="str">
        <f>IF('Teams &amp; HM'!A158="","",'Teams &amp; HM'!A158)</f>
        <v/>
      </c>
      <c r="D100" s="72" t="str">
        <f>IF('Teams &amp; HM'!B158="","",'Teams &amp; HM'!B158)</f>
        <v/>
      </c>
      <c r="H100" s="7"/>
      <c r="I100" s="7"/>
      <c r="J100" s="77" t="str">
        <f t="shared" si="2"/>
        <v/>
      </c>
      <c r="K100" s="109"/>
    </row>
    <row r="101" spans="1:11" x14ac:dyDescent="0.25">
      <c r="A101" s="72" t="str">
        <f>IF('Teams &amp; HM'!A154="","",'Teams &amp; HM'!A154)</f>
        <v/>
      </c>
      <c r="B101" s="72" t="str">
        <f>IF('Teams &amp; HM'!H159="","",'Teams &amp; HM'!H159)</f>
        <v/>
      </c>
      <c r="C101" s="72" t="str">
        <f>IF('Teams &amp; HM'!A159="","",'Teams &amp; HM'!A159)</f>
        <v/>
      </c>
      <c r="D101" s="72" t="str">
        <f>IF('Teams &amp; HM'!B159="","",'Teams &amp; HM'!B159)</f>
        <v/>
      </c>
      <c r="H101" s="7"/>
      <c r="I101" s="7"/>
      <c r="J101" s="77" t="str">
        <f t="shared" si="2"/>
        <v/>
      </c>
      <c r="K101" s="110"/>
    </row>
    <row r="102" spans="1:11" hidden="1" x14ac:dyDescent="0.25">
      <c r="A102" s="51" t="str">
        <f>IF('Teams &amp; HM'!A154="","",'Teams &amp; HM'!A154)</f>
        <v/>
      </c>
      <c r="B102" s="51" t="str">
        <f>IF('Teams &amp; HM'!H160="","",'Teams &amp; HM'!H160)</f>
        <v/>
      </c>
      <c r="C102" s="51" t="str">
        <f>IF('Teams &amp; HM'!A160="","",'Teams &amp; HM'!A160)</f>
        <v/>
      </c>
      <c r="D102" s="51" t="str">
        <f>IF('Teams &amp; HM'!B160="","",'Teams &amp; HM'!B160)</f>
        <v/>
      </c>
      <c r="H102" s="7"/>
      <c r="I102" s="32"/>
      <c r="J102" s="9" t="str">
        <f t="shared" si="2"/>
        <v/>
      </c>
    </row>
    <row r="103" spans="1:11" x14ac:dyDescent="0.25">
      <c r="H103" s="1"/>
      <c r="I103" s="1"/>
      <c r="J103" s="1"/>
    </row>
  </sheetData>
  <sheetProtection algorithmName="SHA-512" hashValue="/H7egPodunz9dc4GHjMlGogFJ5+FLD/WyZ5vafyUiAJEeqn9c6zy/PjUf6RmgR6hGKlqTbaN3amjMCdZul5hIA==" saltValue="aDFYbi1yvXNFxKkmgqz9oA==" spinCount="100000" sheet="1" objects="1" scenarios="1"/>
  <mergeCells count="22">
    <mergeCell ref="A1:D1"/>
    <mergeCell ref="F1:K1"/>
    <mergeCell ref="K3:K6"/>
    <mergeCell ref="K8:K11"/>
    <mergeCell ref="K13:K16"/>
    <mergeCell ref="K18:K21"/>
    <mergeCell ref="K23:K26"/>
    <mergeCell ref="K28:K31"/>
    <mergeCell ref="K33:K36"/>
    <mergeCell ref="K38:K41"/>
    <mergeCell ref="K43:K46"/>
    <mergeCell ref="K48:K51"/>
    <mergeCell ref="K53:K56"/>
    <mergeCell ref="K58:K61"/>
    <mergeCell ref="K88:K91"/>
    <mergeCell ref="K93:K96"/>
    <mergeCell ref="K98:K101"/>
    <mergeCell ref="K63:K66"/>
    <mergeCell ref="K68:K71"/>
    <mergeCell ref="K73:K76"/>
    <mergeCell ref="K78:K81"/>
    <mergeCell ref="K83:K8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'Instructions &amp; Reference'!$C$6:$C$17</xm:f>
          </x14:formula1>
          <xm:sqref>G3:G82</xm:sqref>
        </x14:dataValidation>
        <x14:dataValidation type="list" allowBlank="1" showInputMessage="1" showErrorMessage="1" xr:uid="{00000000-0002-0000-0400-000001000000}">
          <x14:formula1>
            <xm:f>'Instructions &amp; Reference'!$K$201:$K$202</xm:f>
          </x14:formula1>
          <xm:sqref>F3:F82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L102"/>
  <sheetViews>
    <sheetView workbookViewId="0">
      <selection activeCell="H20" sqref="H20"/>
    </sheetView>
  </sheetViews>
  <sheetFormatPr defaultRowHeight="15" x14ac:dyDescent="0.25"/>
  <cols>
    <col min="1" max="1" width="9.140625" style="11"/>
    <col min="2" max="2" width="20" style="11" bestFit="1" customWidth="1"/>
    <col min="3" max="3" width="4.85546875" style="11" customWidth="1"/>
    <col min="4" max="4" width="20.85546875" style="11" customWidth="1"/>
    <col min="5" max="5" width="2.5703125" style="11" customWidth="1"/>
    <col min="6" max="6" width="17.5703125" style="11" bestFit="1" customWidth="1"/>
    <col min="7" max="7" width="20" style="11" customWidth="1"/>
    <col min="8" max="8" width="9.140625" style="15"/>
    <col min="9" max="9" width="12.7109375" style="11" bestFit="1" customWidth="1"/>
    <col min="10" max="10" width="15" style="11" customWidth="1"/>
    <col min="11" max="11" width="10.7109375" style="13" bestFit="1" customWidth="1"/>
    <col min="12" max="12" width="11.140625" style="6" bestFit="1" customWidth="1"/>
    <col min="13" max="16384" width="9.140625" style="6"/>
  </cols>
  <sheetData>
    <row r="1" spans="1:12" ht="25.5" customHeight="1" x14ac:dyDescent="0.25">
      <c r="A1" s="112" t="str">
        <f>IF('Teams &amp; HM'!A1="","",'Teams &amp; HM'!A1)</f>
        <v/>
      </c>
      <c r="B1" s="113"/>
      <c r="C1" s="113"/>
      <c r="D1" s="114"/>
      <c r="E1" s="10"/>
      <c r="F1" s="117" t="s">
        <v>103</v>
      </c>
      <c r="G1" s="118"/>
      <c r="H1" s="118"/>
      <c r="I1" s="118"/>
      <c r="J1" s="118"/>
      <c r="K1" s="118"/>
      <c r="L1" s="119"/>
    </row>
    <row r="2" spans="1:12" ht="25.5" x14ac:dyDescent="0.25">
      <c r="A2" s="69" t="s">
        <v>80</v>
      </c>
      <c r="B2" s="69" t="s">
        <v>61</v>
      </c>
      <c r="C2" s="69" t="s">
        <v>55</v>
      </c>
      <c r="D2" s="69" t="s">
        <v>81</v>
      </c>
      <c r="E2" s="12"/>
      <c r="F2" s="27" t="s">
        <v>104</v>
      </c>
      <c r="G2" s="27" t="s">
        <v>105</v>
      </c>
      <c r="H2" s="37" t="s">
        <v>83</v>
      </c>
      <c r="I2" s="27" t="s">
        <v>96</v>
      </c>
      <c r="J2" s="38" t="s">
        <v>106</v>
      </c>
      <c r="K2" s="27" t="s">
        <v>90</v>
      </c>
      <c r="L2" s="27" t="s">
        <v>91</v>
      </c>
    </row>
    <row r="3" spans="1:12" x14ac:dyDescent="0.25">
      <c r="A3" s="72" t="str">
        <f>IF('Teams &amp; HM'!A2="","",'Teams &amp; HM'!A2)</f>
        <v/>
      </c>
      <c r="B3" s="72" t="str">
        <f>IF('Teams &amp; HM'!H4="","",'Teams &amp; HM'!H4)</f>
        <v/>
      </c>
      <c r="C3" s="72" t="str">
        <f>IF('Teams &amp; HM'!A4="","",'Teams &amp; HM'!A4)</f>
        <v/>
      </c>
      <c r="D3" s="72" t="str">
        <f>IF('Teams &amp; HM'!B4="","",'Teams &amp; HM'!B4)</f>
        <v/>
      </c>
      <c r="F3" s="7"/>
      <c r="G3" s="7"/>
      <c r="H3" s="14"/>
      <c r="I3" s="7"/>
      <c r="J3" s="7"/>
      <c r="K3" s="74" t="str">
        <f>IF(I3="","",I3-J3)</f>
        <v/>
      </c>
      <c r="L3" s="108" t="str">
        <f>IF(K3="","",IF(COUNT(K3:K6)=4,(SUM(K3:K6)-MIN(K3:K6)),SUM(K3:K5)))</f>
        <v/>
      </c>
    </row>
    <row r="4" spans="1:12" x14ac:dyDescent="0.25">
      <c r="A4" s="72" t="str">
        <f>IF('Teams &amp; HM'!A2="","",'Teams &amp; HM'!A2)</f>
        <v/>
      </c>
      <c r="B4" s="72" t="str">
        <f>IF('Teams &amp; HM'!H5="","",'Teams &amp; HM'!H5)</f>
        <v/>
      </c>
      <c r="C4" s="72" t="str">
        <f>IF('Teams &amp; HM'!A5="","",'Teams &amp; HM'!A5)</f>
        <v/>
      </c>
      <c r="D4" s="72" t="str">
        <f>IF('Teams &amp; HM'!B5="","",'Teams &amp; HM'!B5)</f>
        <v/>
      </c>
      <c r="F4" s="7"/>
      <c r="G4" s="7"/>
      <c r="H4" s="14"/>
      <c r="I4" s="7"/>
      <c r="J4" s="7"/>
      <c r="K4" s="74" t="str">
        <f t="shared" ref="K4:K67" si="0">IF(I4="","",I4-J4)</f>
        <v/>
      </c>
      <c r="L4" s="109"/>
    </row>
    <row r="5" spans="1:12" x14ac:dyDescent="0.25">
      <c r="A5" s="72" t="str">
        <f>IF('Teams &amp; HM'!A2="","",'Teams &amp; HM'!A2)</f>
        <v/>
      </c>
      <c r="B5" s="72" t="str">
        <f>IF('Teams &amp; HM'!H6="","",'Teams &amp; HM'!H6)</f>
        <v/>
      </c>
      <c r="C5" s="72" t="str">
        <f>IF('Teams &amp; HM'!A6="","",'Teams &amp; HM'!A6)</f>
        <v/>
      </c>
      <c r="D5" s="72" t="str">
        <f>IF('Teams &amp; HM'!B6="","",'Teams &amp; HM'!B6)</f>
        <v/>
      </c>
      <c r="F5" s="7"/>
      <c r="G5" s="7"/>
      <c r="H5" s="14"/>
      <c r="I5" s="67"/>
      <c r="J5" s="7"/>
      <c r="K5" s="74" t="str">
        <f t="shared" si="0"/>
        <v/>
      </c>
      <c r="L5" s="109"/>
    </row>
    <row r="6" spans="1:12" x14ac:dyDescent="0.25">
      <c r="A6" s="72" t="str">
        <f>IF('Teams &amp; HM'!A2="","",'Teams &amp; HM'!A2)</f>
        <v/>
      </c>
      <c r="B6" s="72" t="str">
        <f>IF('Teams &amp; HM'!H7="","",'Teams &amp; HM'!H7)</f>
        <v/>
      </c>
      <c r="C6" s="72" t="str">
        <f>IF('Teams &amp; HM'!A7="","",'Teams &amp; HM'!A7)</f>
        <v/>
      </c>
      <c r="D6" s="72" t="str">
        <f>IF('Teams &amp; HM'!B7="","",'Teams &amp; HM'!B7)</f>
        <v/>
      </c>
      <c r="F6" s="7"/>
      <c r="G6" s="7"/>
      <c r="H6" s="14"/>
      <c r="I6" s="7"/>
      <c r="J6" s="7"/>
      <c r="K6" s="74" t="str">
        <f t="shared" si="0"/>
        <v/>
      </c>
      <c r="L6" s="110"/>
    </row>
    <row r="7" spans="1:12" hidden="1" x14ac:dyDescent="0.25">
      <c r="A7" s="72" t="str">
        <f>IF('Teams &amp; HM'!A2="","",'Teams &amp; HM'!A2)</f>
        <v/>
      </c>
      <c r="B7" s="72" t="str">
        <f>IF('Teams &amp; HM'!H8="","",'Teams &amp; HM'!H8)</f>
        <v/>
      </c>
      <c r="C7" s="72" t="str">
        <f>IF('Teams &amp; HM'!A8="","",'Teams &amp; HM'!A8)</f>
        <v/>
      </c>
      <c r="D7" s="72" t="str">
        <f>IF('Teams &amp; HM'!B8="","",'Teams &amp; HM'!B8)</f>
        <v/>
      </c>
      <c r="F7" s="7"/>
      <c r="G7" s="7"/>
      <c r="H7" s="14"/>
      <c r="I7" s="7"/>
      <c r="J7" s="7"/>
      <c r="K7" s="74" t="str">
        <f t="shared" si="0"/>
        <v/>
      </c>
      <c r="L7" s="75"/>
    </row>
    <row r="8" spans="1:12" x14ac:dyDescent="0.25">
      <c r="A8" s="72" t="str">
        <f>IF('Teams &amp; HM'!A10="","",'Teams &amp; HM'!A10)</f>
        <v/>
      </c>
      <c r="B8" s="72" t="str">
        <f>IF('Teams &amp; HM'!H12="","",'Teams &amp; HM'!H12)</f>
        <v/>
      </c>
      <c r="C8" s="72" t="str">
        <f>IF('Teams &amp; HM'!A12="","",'Teams &amp; HM'!A12)</f>
        <v/>
      </c>
      <c r="D8" s="72" t="str">
        <f>IF('Teams &amp; HM'!B12="","",'Teams &amp; HM'!B12)</f>
        <v/>
      </c>
      <c r="F8" s="7"/>
      <c r="G8" s="7"/>
      <c r="H8" s="14"/>
      <c r="I8" s="7"/>
      <c r="J8" s="7"/>
      <c r="K8" s="74" t="str">
        <f t="shared" si="0"/>
        <v/>
      </c>
      <c r="L8" s="108" t="str">
        <f>IF(K8="","",IF(COUNT(K8:K11)=4,(SUM(K8:K11)-MIN(K8:K11)),SUM(K8:K10)))</f>
        <v/>
      </c>
    </row>
    <row r="9" spans="1:12" x14ac:dyDescent="0.25">
      <c r="A9" s="72" t="str">
        <f>IF('Teams &amp; HM'!A10="","",'Teams &amp; HM'!A10)</f>
        <v/>
      </c>
      <c r="B9" s="72" t="str">
        <f>IF('Teams &amp; HM'!H13="","",'Teams &amp; HM'!H13)</f>
        <v/>
      </c>
      <c r="C9" s="72" t="str">
        <f>IF('Teams &amp; HM'!A13="","",'Teams &amp; HM'!A13)</f>
        <v/>
      </c>
      <c r="D9" s="72" t="str">
        <f>IF('Teams &amp; HM'!B13="","",'Teams &amp; HM'!B13)</f>
        <v/>
      </c>
      <c r="F9" s="7"/>
      <c r="G9" s="7"/>
      <c r="H9" s="14"/>
      <c r="I9" s="7"/>
      <c r="J9" s="7"/>
      <c r="K9" s="74" t="str">
        <f t="shared" si="0"/>
        <v/>
      </c>
      <c r="L9" s="109"/>
    </row>
    <row r="10" spans="1:12" x14ac:dyDescent="0.25">
      <c r="A10" s="72" t="str">
        <f>IF('Teams &amp; HM'!A10="","",'Teams &amp; HM'!A10)</f>
        <v/>
      </c>
      <c r="B10" s="72" t="str">
        <f>IF('Teams &amp; HM'!H14="","",'Teams &amp; HM'!H14)</f>
        <v/>
      </c>
      <c r="C10" s="72" t="str">
        <f>IF('Teams &amp; HM'!A14="","",'Teams &amp; HM'!A14)</f>
        <v/>
      </c>
      <c r="D10" s="72" t="str">
        <f>IF('Teams &amp; HM'!B14="","",'Teams &amp; HM'!B14)</f>
        <v/>
      </c>
      <c r="F10" s="7"/>
      <c r="G10" s="7"/>
      <c r="H10" s="14"/>
      <c r="I10" s="7"/>
      <c r="J10" s="7"/>
      <c r="K10" s="74" t="str">
        <f t="shared" si="0"/>
        <v/>
      </c>
      <c r="L10" s="109"/>
    </row>
    <row r="11" spans="1:12" x14ac:dyDescent="0.25">
      <c r="A11" s="72" t="str">
        <f>IF('Teams &amp; HM'!A10="","",'Teams &amp; HM'!A10)</f>
        <v/>
      </c>
      <c r="B11" s="72" t="str">
        <f>IF('Teams &amp; HM'!H15="","",'Teams &amp; HM'!H15)</f>
        <v/>
      </c>
      <c r="C11" s="72" t="str">
        <f>IF('Teams &amp; HM'!A15="","",'Teams &amp; HM'!A15)</f>
        <v/>
      </c>
      <c r="D11" s="72" t="str">
        <f>IF('Teams &amp; HM'!B15="","",'Teams &amp; HM'!B15)</f>
        <v/>
      </c>
      <c r="F11" s="7"/>
      <c r="G11" s="7"/>
      <c r="H11" s="14"/>
      <c r="I11" s="7"/>
      <c r="J11" s="7"/>
      <c r="K11" s="74" t="str">
        <f t="shared" si="0"/>
        <v/>
      </c>
      <c r="L11" s="110"/>
    </row>
    <row r="12" spans="1:12" hidden="1" x14ac:dyDescent="0.25">
      <c r="A12" s="72" t="str">
        <f>IF('Teams &amp; HM'!A10="","",'Teams &amp; HM'!A10)</f>
        <v/>
      </c>
      <c r="B12" s="72" t="str">
        <f>IF('Teams &amp; HM'!H16="","",'Teams &amp; HM'!H16)</f>
        <v/>
      </c>
      <c r="C12" s="72" t="str">
        <f>IF('Teams &amp; HM'!A16="","",'Teams &amp; HM'!A16)</f>
        <v/>
      </c>
      <c r="D12" s="72" t="str">
        <f>IF('Teams &amp; HM'!B16="","",'Teams &amp; HM'!B16)</f>
        <v/>
      </c>
      <c r="F12" s="7"/>
      <c r="G12" s="7"/>
      <c r="H12" s="14"/>
      <c r="I12" s="7"/>
      <c r="J12" s="7"/>
      <c r="K12" s="74" t="str">
        <f t="shared" si="0"/>
        <v/>
      </c>
      <c r="L12" s="75"/>
    </row>
    <row r="13" spans="1:12" x14ac:dyDescent="0.25">
      <c r="A13" s="72" t="str">
        <f>IF('Teams &amp; HM'!A18="","",'Teams &amp; HM'!A18)</f>
        <v/>
      </c>
      <c r="B13" s="72" t="str">
        <f>IF('Teams &amp; HM'!H20="","",'Teams &amp; HM'!H20)</f>
        <v/>
      </c>
      <c r="C13" s="72" t="str">
        <f>IF('Teams &amp; HM'!A20="","",'Teams &amp; HM'!A20)</f>
        <v/>
      </c>
      <c r="D13" s="72" t="str">
        <f>IF('Teams &amp; HM'!B20="","",'Teams &amp; HM'!B20)</f>
        <v/>
      </c>
      <c r="F13" s="7"/>
      <c r="G13" s="7"/>
      <c r="H13" s="14"/>
      <c r="I13" s="7"/>
      <c r="J13" s="7"/>
      <c r="K13" s="74" t="str">
        <f t="shared" si="0"/>
        <v/>
      </c>
      <c r="L13" s="108" t="str">
        <f>IF(K13="","",IF(COUNT(K13:K16)=4,(SUM(K13:K16)-MIN(K13:K16)),SUM(K13:K15)))</f>
        <v/>
      </c>
    </row>
    <row r="14" spans="1:12" x14ac:dyDescent="0.25">
      <c r="A14" s="72" t="str">
        <f>IF('Teams &amp; HM'!A18="","",'Teams &amp; HM'!A18)</f>
        <v/>
      </c>
      <c r="B14" s="72" t="str">
        <f>IF('Teams &amp; HM'!H21="","",'Teams &amp; HM'!H21)</f>
        <v/>
      </c>
      <c r="C14" s="72" t="str">
        <f>IF('Teams &amp; HM'!A21="","",'Teams &amp; HM'!A21)</f>
        <v/>
      </c>
      <c r="D14" s="72" t="str">
        <f>IF('Teams &amp; HM'!B21="","",'Teams &amp; HM'!B21)</f>
        <v/>
      </c>
      <c r="F14" s="7"/>
      <c r="G14" s="7"/>
      <c r="H14" s="14"/>
      <c r="I14" s="7"/>
      <c r="J14" s="7"/>
      <c r="K14" s="74" t="str">
        <f t="shared" si="0"/>
        <v/>
      </c>
      <c r="L14" s="109"/>
    </row>
    <row r="15" spans="1:12" x14ac:dyDescent="0.25">
      <c r="A15" s="72" t="str">
        <f>IF('Teams &amp; HM'!A18="","",'Teams &amp; HM'!A18)</f>
        <v/>
      </c>
      <c r="B15" s="72" t="str">
        <f>IF('Teams &amp; HM'!H22="","",'Teams &amp; HM'!H22)</f>
        <v/>
      </c>
      <c r="C15" s="72" t="str">
        <f>IF('Teams &amp; HM'!A22="","",'Teams &amp; HM'!A22)</f>
        <v/>
      </c>
      <c r="D15" s="72" t="str">
        <f>IF('Teams &amp; HM'!B22="","",'Teams &amp; HM'!B22)</f>
        <v/>
      </c>
      <c r="F15" s="7"/>
      <c r="G15" s="7"/>
      <c r="H15" s="14"/>
      <c r="I15" s="7"/>
      <c r="J15" s="7"/>
      <c r="K15" s="74" t="str">
        <f t="shared" si="0"/>
        <v/>
      </c>
      <c r="L15" s="109"/>
    </row>
    <row r="16" spans="1:12" x14ac:dyDescent="0.25">
      <c r="A16" s="72" t="str">
        <f>IF('Teams &amp; HM'!A18="","",'Teams &amp; HM'!A18)</f>
        <v/>
      </c>
      <c r="B16" s="72" t="str">
        <f>IF('Teams &amp; HM'!H23="","",'Teams &amp; HM'!H23)</f>
        <v/>
      </c>
      <c r="C16" s="72" t="str">
        <f>IF('Teams &amp; HM'!A23="","",'Teams &amp; HM'!A23)</f>
        <v/>
      </c>
      <c r="D16" s="72" t="str">
        <f>IF('Teams &amp; HM'!B23="","",'Teams &amp; HM'!B23)</f>
        <v/>
      </c>
      <c r="F16" s="7"/>
      <c r="G16" s="7"/>
      <c r="H16" s="14"/>
      <c r="I16" s="7"/>
      <c r="J16" s="7"/>
      <c r="K16" s="74" t="str">
        <f t="shared" si="0"/>
        <v/>
      </c>
      <c r="L16" s="110"/>
    </row>
    <row r="17" spans="1:12" hidden="1" x14ac:dyDescent="0.25">
      <c r="A17" s="72" t="str">
        <f>IF('Teams &amp; HM'!A18="","",'Teams &amp; HM'!A18)</f>
        <v/>
      </c>
      <c r="B17" s="72" t="str">
        <f>IF('Teams &amp; HM'!H24="","",'Teams &amp; HM'!H24)</f>
        <v/>
      </c>
      <c r="C17" s="72" t="str">
        <f>IF('Teams &amp; HM'!A24="","",'Teams &amp; HM'!A24)</f>
        <v/>
      </c>
      <c r="D17" s="72" t="str">
        <f>IF('Teams &amp; HM'!B24="","",'Teams &amp; HM'!B24)</f>
        <v/>
      </c>
      <c r="F17" s="7"/>
      <c r="G17" s="7"/>
      <c r="H17" s="14"/>
      <c r="I17" s="7"/>
      <c r="J17" s="7"/>
      <c r="K17" s="74" t="str">
        <f t="shared" si="0"/>
        <v/>
      </c>
      <c r="L17" s="75"/>
    </row>
    <row r="18" spans="1:12" x14ac:dyDescent="0.25">
      <c r="A18" s="72" t="str">
        <f>IF('Teams &amp; HM'!A26="","",'Teams &amp; HM'!A26)</f>
        <v/>
      </c>
      <c r="B18" s="72" t="str">
        <f>IF('Teams &amp; HM'!H28="","",'Teams &amp; HM'!H28)</f>
        <v/>
      </c>
      <c r="C18" s="72" t="str">
        <f>IF('Teams &amp; HM'!A28="","",'Teams &amp; HM'!A28)</f>
        <v/>
      </c>
      <c r="D18" s="72" t="str">
        <f>IF('Teams &amp; HM'!B28="","",'Teams &amp; HM'!B28)</f>
        <v/>
      </c>
      <c r="F18" s="7"/>
      <c r="G18" s="7"/>
      <c r="H18" s="14"/>
      <c r="I18" s="7"/>
      <c r="J18" s="7"/>
      <c r="K18" s="74" t="str">
        <f t="shared" si="0"/>
        <v/>
      </c>
      <c r="L18" s="108" t="str">
        <f>IF(K18="","",IF(COUNT(K18:K21)=4,(SUM(K18:K21)-MIN(K18:K21)),SUM(K18:K20)))</f>
        <v/>
      </c>
    </row>
    <row r="19" spans="1:12" x14ac:dyDescent="0.25">
      <c r="A19" s="72" t="str">
        <f>IF('Teams &amp; HM'!A26="","",'Teams &amp; HM'!A26)</f>
        <v/>
      </c>
      <c r="B19" s="72" t="str">
        <f>IF('Teams &amp; HM'!H29="","",'Teams &amp; HM'!H29)</f>
        <v/>
      </c>
      <c r="C19" s="72" t="str">
        <f>IF('Teams &amp; HM'!A29="","",'Teams &amp; HM'!A29)</f>
        <v/>
      </c>
      <c r="D19" s="72" t="str">
        <f>IF('Teams &amp; HM'!B29="","",'Teams &amp; HM'!B29)</f>
        <v/>
      </c>
      <c r="F19" s="7"/>
      <c r="G19" s="7"/>
      <c r="H19" s="14"/>
      <c r="I19" s="7"/>
      <c r="J19" s="7"/>
      <c r="K19" s="74" t="str">
        <f t="shared" si="0"/>
        <v/>
      </c>
      <c r="L19" s="109"/>
    </row>
    <row r="20" spans="1:12" x14ac:dyDescent="0.25">
      <c r="A20" s="72" t="str">
        <f>IF('Teams &amp; HM'!A26="","",'Teams &amp; HM'!A26)</f>
        <v/>
      </c>
      <c r="B20" s="72" t="str">
        <f>IF('Teams &amp; HM'!H30="","",'Teams &amp; HM'!H30)</f>
        <v/>
      </c>
      <c r="C20" s="72" t="str">
        <f>IF('Teams &amp; HM'!A30="","",'Teams &amp; HM'!A30)</f>
        <v/>
      </c>
      <c r="D20" s="72" t="str">
        <f>IF('Teams &amp; HM'!B30="","",'Teams &amp; HM'!B30)</f>
        <v/>
      </c>
      <c r="F20" s="7"/>
      <c r="G20" s="7"/>
      <c r="H20" s="14"/>
      <c r="I20" s="7"/>
      <c r="J20" s="7"/>
      <c r="K20" s="74" t="str">
        <f t="shared" si="0"/>
        <v/>
      </c>
      <c r="L20" s="109"/>
    </row>
    <row r="21" spans="1:12" x14ac:dyDescent="0.25">
      <c r="A21" s="72" t="str">
        <f>IF('Teams &amp; HM'!A26="","",'Teams &amp; HM'!A26)</f>
        <v/>
      </c>
      <c r="B21" s="72" t="str">
        <f>IF('Teams &amp; HM'!H31="","",'Teams &amp; HM'!H31)</f>
        <v/>
      </c>
      <c r="C21" s="72" t="str">
        <f>IF('Teams &amp; HM'!A31="","",'Teams &amp; HM'!A31)</f>
        <v/>
      </c>
      <c r="D21" s="72" t="str">
        <f>IF('Teams &amp; HM'!B31="","",'Teams &amp; HM'!B31)</f>
        <v/>
      </c>
      <c r="F21" s="7"/>
      <c r="G21" s="7"/>
      <c r="H21" s="14"/>
      <c r="I21" s="7"/>
      <c r="J21" s="7"/>
      <c r="K21" s="74" t="str">
        <f t="shared" si="0"/>
        <v/>
      </c>
      <c r="L21" s="110"/>
    </row>
    <row r="22" spans="1:12" hidden="1" x14ac:dyDescent="0.25">
      <c r="A22" s="72" t="str">
        <f>IF('Teams &amp; HM'!A26="","",'Teams &amp; HM'!A26)</f>
        <v/>
      </c>
      <c r="B22" s="72" t="str">
        <f>IF('Teams &amp; HM'!H32="","",'Teams &amp; HM'!H32)</f>
        <v/>
      </c>
      <c r="C22" s="72" t="str">
        <f>IF('Teams &amp; HM'!A32="","",'Teams &amp; HM'!A32)</f>
        <v/>
      </c>
      <c r="D22" s="72" t="str">
        <f>IF('Teams &amp; HM'!B32="","",'Teams &amp; HM'!B32)</f>
        <v/>
      </c>
      <c r="F22" s="7"/>
      <c r="G22" s="7"/>
      <c r="H22" s="14"/>
      <c r="I22" s="7"/>
      <c r="J22" s="7"/>
      <c r="K22" s="74" t="str">
        <f t="shared" si="0"/>
        <v/>
      </c>
      <c r="L22" s="75"/>
    </row>
    <row r="23" spans="1:12" x14ac:dyDescent="0.25">
      <c r="A23" s="72" t="str">
        <f>IF('Teams &amp; HM'!A34="","",'Teams &amp; HM'!A34)</f>
        <v/>
      </c>
      <c r="B23" s="72" t="str">
        <f>IF('Teams &amp; HM'!H36="","",'Teams &amp; HM'!H36)</f>
        <v/>
      </c>
      <c r="C23" s="72" t="str">
        <f>IF('Teams &amp; HM'!A36="","",'Teams &amp; HM'!A36)</f>
        <v/>
      </c>
      <c r="D23" s="72" t="str">
        <f>IF('Teams &amp; HM'!B36="","",'Teams &amp; HM'!B36)</f>
        <v/>
      </c>
      <c r="F23" s="7"/>
      <c r="G23" s="7"/>
      <c r="H23" s="14"/>
      <c r="I23" s="7"/>
      <c r="J23" s="7"/>
      <c r="K23" s="74" t="str">
        <f t="shared" si="0"/>
        <v/>
      </c>
      <c r="L23" s="108" t="str">
        <f>IF(K23="","",IF(COUNT(K23:K26)=4,(SUM(K23:K26)-MIN(K23:K26)),SUM(K23:K25)))</f>
        <v/>
      </c>
    </row>
    <row r="24" spans="1:12" x14ac:dyDescent="0.25">
      <c r="A24" s="72" t="str">
        <f>IF('Teams &amp; HM'!A34="","",'Teams &amp; HM'!A34)</f>
        <v/>
      </c>
      <c r="B24" s="72" t="str">
        <f>IF('Teams &amp; HM'!H37="","",'Teams &amp; HM'!H37)</f>
        <v/>
      </c>
      <c r="C24" s="72" t="str">
        <f>IF('Teams &amp; HM'!A37="","",'Teams &amp; HM'!A37)</f>
        <v/>
      </c>
      <c r="D24" s="72" t="str">
        <f>IF('Teams &amp; HM'!B37="","",'Teams &amp; HM'!B37)</f>
        <v/>
      </c>
      <c r="F24" s="7"/>
      <c r="G24" s="7"/>
      <c r="H24" s="14"/>
      <c r="I24" s="7"/>
      <c r="J24" s="7"/>
      <c r="K24" s="74" t="str">
        <f t="shared" si="0"/>
        <v/>
      </c>
      <c r="L24" s="109"/>
    </row>
    <row r="25" spans="1:12" x14ac:dyDescent="0.25">
      <c r="A25" s="72" t="str">
        <f>IF('Teams &amp; HM'!A34="","",'Teams &amp; HM'!A34)</f>
        <v/>
      </c>
      <c r="B25" s="72" t="str">
        <f>IF('Teams &amp; HM'!H38="","",'Teams &amp; HM'!H38)</f>
        <v/>
      </c>
      <c r="C25" s="72" t="str">
        <f>IF('Teams &amp; HM'!A38="","",'Teams &amp; HM'!A38)</f>
        <v/>
      </c>
      <c r="D25" s="72" t="str">
        <f>IF('Teams &amp; HM'!B38="","",'Teams &amp; HM'!B38)</f>
        <v/>
      </c>
      <c r="F25" s="7"/>
      <c r="G25" s="7"/>
      <c r="H25" s="14"/>
      <c r="I25" s="7"/>
      <c r="J25" s="7"/>
      <c r="K25" s="74" t="str">
        <f t="shared" si="0"/>
        <v/>
      </c>
      <c r="L25" s="109"/>
    </row>
    <row r="26" spans="1:12" x14ac:dyDescent="0.25">
      <c r="A26" s="72" t="str">
        <f>IF('Teams &amp; HM'!A34="","",'Teams &amp; HM'!A34)</f>
        <v/>
      </c>
      <c r="B26" s="72" t="str">
        <f>IF('Teams &amp; HM'!H39="","",'Teams &amp; HM'!H39)</f>
        <v/>
      </c>
      <c r="C26" s="72" t="str">
        <f>IF('Teams &amp; HM'!A39="","",'Teams &amp; HM'!A39)</f>
        <v/>
      </c>
      <c r="D26" s="72" t="str">
        <f>IF('Teams &amp; HM'!B39="","",'Teams &amp; HM'!B39)</f>
        <v/>
      </c>
      <c r="F26" s="7"/>
      <c r="G26" s="7"/>
      <c r="H26" s="14"/>
      <c r="I26" s="7"/>
      <c r="J26" s="7"/>
      <c r="K26" s="74" t="str">
        <f t="shared" si="0"/>
        <v/>
      </c>
      <c r="L26" s="110"/>
    </row>
    <row r="27" spans="1:12" hidden="1" x14ac:dyDescent="0.25">
      <c r="A27" s="72" t="str">
        <f>IF('Teams &amp; HM'!A34="","",'Teams &amp; HM'!A34)</f>
        <v/>
      </c>
      <c r="B27" s="72" t="str">
        <f>IF('Teams &amp; HM'!H40="","",'Teams &amp; HM'!H40)</f>
        <v/>
      </c>
      <c r="C27" s="72" t="str">
        <f>IF('Teams &amp; HM'!A40="","",'Teams &amp; HM'!A40)</f>
        <v/>
      </c>
      <c r="D27" s="72" t="str">
        <f>IF('Teams &amp; HM'!B40="","",'Teams &amp; HM'!B40)</f>
        <v/>
      </c>
      <c r="F27" s="7"/>
      <c r="G27" s="7"/>
      <c r="H27" s="14"/>
      <c r="I27" s="7"/>
      <c r="J27" s="7"/>
      <c r="K27" s="74" t="str">
        <f t="shared" si="0"/>
        <v/>
      </c>
      <c r="L27" s="75"/>
    </row>
    <row r="28" spans="1:12" x14ac:dyDescent="0.25">
      <c r="A28" s="72" t="str">
        <f>IF('Teams &amp; HM'!A42="","",'Teams &amp; HM'!A42)</f>
        <v/>
      </c>
      <c r="B28" s="72" t="str">
        <f>IF('Teams &amp; HM'!H44="","",'Teams &amp; HM'!H44)</f>
        <v/>
      </c>
      <c r="C28" s="72" t="str">
        <f>IF('Teams &amp; HM'!A44="","",'Teams &amp; HM'!A44)</f>
        <v/>
      </c>
      <c r="D28" s="72" t="str">
        <f>IF('Teams &amp; HM'!B44="","",'Teams &amp; HM'!B44)</f>
        <v/>
      </c>
      <c r="F28" s="7"/>
      <c r="G28" s="7"/>
      <c r="H28" s="14"/>
      <c r="I28" s="7"/>
      <c r="J28" s="7"/>
      <c r="K28" s="74" t="str">
        <f t="shared" si="0"/>
        <v/>
      </c>
      <c r="L28" s="108" t="str">
        <f>IF(K28="","",IF(COUNT(K28:K31)=4,(SUM(K28:K31)-MIN(K28:K31)),SUM(K28:K30)))</f>
        <v/>
      </c>
    </row>
    <row r="29" spans="1:12" x14ac:dyDescent="0.25">
      <c r="A29" s="72" t="str">
        <f>IF('Teams &amp; HM'!A42="","",'Teams &amp; HM'!A42)</f>
        <v/>
      </c>
      <c r="B29" s="72" t="str">
        <f>IF('Teams &amp; HM'!H45="","",'Teams &amp; HM'!H45)</f>
        <v/>
      </c>
      <c r="C29" s="72" t="str">
        <f>IF('Teams &amp; HM'!A45="","",'Teams &amp; HM'!A45)</f>
        <v/>
      </c>
      <c r="D29" s="72" t="str">
        <f>IF('Teams &amp; HM'!B45="","",'Teams &amp; HM'!B45)</f>
        <v/>
      </c>
      <c r="F29" s="7"/>
      <c r="G29" s="7"/>
      <c r="H29" s="14"/>
      <c r="I29" s="7"/>
      <c r="J29" s="7"/>
      <c r="K29" s="74" t="str">
        <f t="shared" si="0"/>
        <v/>
      </c>
      <c r="L29" s="109"/>
    </row>
    <row r="30" spans="1:12" x14ac:dyDescent="0.25">
      <c r="A30" s="72" t="str">
        <f>IF('Teams &amp; HM'!A42="","",'Teams &amp; HM'!A42)</f>
        <v/>
      </c>
      <c r="B30" s="72" t="str">
        <f>IF('Teams &amp; HM'!H46="","",'Teams &amp; HM'!H46)</f>
        <v/>
      </c>
      <c r="C30" s="72" t="str">
        <f>IF('Teams &amp; HM'!A46="","",'Teams &amp; HM'!A46)</f>
        <v/>
      </c>
      <c r="D30" s="72" t="str">
        <f>IF('Teams &amp; HM'!B46="","",'Teams &amp; HM'!B46)</f>
        <v/>
      </c>
      <c r="F30" s="7"/>
      <c r="G30" s="7"/>
      <c r="H30" s="14"/>
      <c r="I30" s="7"/>
      <c r="J30" s="7"/>
      <c r="K30" s="74" t="str">
        <f t="shared" si="0"/>
        <v/>
      </c>
      <c r="L30" s="109"/>
    </row>
    <row r="31" spans="1:12" x14ac:dyDescent="0.25">
      <c r="A31" s="72" t="str">
        <f>IF('Teams &amp; HM'!A42="","",'Teams &amp; HM'!A42)</f>
        <v/>
      </c>
      <c r="B31" s="72" t="str">
        <f>IF('Teams &amp; HM'!H47="","",'Teams &amp; HM'!H47)</f>
        <v/>
      </c>
      <c r="C31" s="72" t="str">
        <f>IF('Teams &amp; HM'!A47="","",'Teams &amp; HM'!A47)</f>
        <v/>
      </c>
      <c r="D31" s="72" t="str">
        <f>IF('Teams &amp; HM'!B47="","",'Teams &amp; HM'!B47)</f>
        <v/>
      </c>
      <c r="F31" s="7"/>
      <c r="G31" s="7"/>
      <c r="H31" s="14"/>
      <c r="I31" s="7"/>
      <c r="J31" s="7"/>
      <c r="K31" s="74" t="str">
        <f t="shared" si="0"/>
        <v/>
      </c>
      <c r="L31" s="110"/>
    </row>
    <row r="32" spans="1:12" hidden="1" x14ac:dyDescent="0.25">
      <c r="A32" s="72" t="str">
        <f>IF('Teams &amp; HM'!A42="","",'Teams &amp; HM'!A42)</f>
        <v/>
      </c>
      <c r="B32" s="72" t="str">
        <f>IF('Teams &amp; HM'!H48="","",'Teams &amp; HM'!H48)</f>
        <v/>
      </c>
      <c r="C32" s="72" t="str">
        <f>IF('Teams &amp; HM'!A48="","",'Teams &amp; HM'!A48)</f>
        <v/>
      </c>
      <c r="D32" s="72" t="str">
        <f>IF('Teams &amp; HM'!B48="","",'Teams &amp; HM'!B48)</f>
        <v/>
      </c>
      <c r="F32" s="7"/>
      <c r="G32" s="7"/>
      <c r="H32" s="14"/>
      <c r="I32" s="7"/>
      <c r="J32" s="7"/>
      <c r="K32" s="74" t="str">
        <f t="shared" si="0"/>
        <v/>
      </c>
      <c r="L32" s="75"/>
    </row>
    <row r="33" spans="1:12" x14ac:dyDescent="0.25">
      <c r="A33" s="72" t="str">
        <f>IF('Teams &amp; HM'!A50="","",'Teams &amp; HM'!A50)</f>
        <v/>
      </c>
      <c r="B33" s="72" t="str">
        <f>IF('Teams &amp; HM'!H52="","",'Teams &amp; HM'!H52)</f>
        <v/>
      </c>
      <c r="C33" s="72" t="str">
        <f>IF('Teams &amp; HM'!A52="","",'Teams &amp; HM'!A52)</f>
        <v/>
      </c>
      <c r="D33" s="72" t="str">
        <f>IF('Teams &amp; HM'!B52="","",'Teams &amp; HM'!B52)</f>
        <v/>
      </c>
      <c r="F33" s="7"/>
      <c r="G33" s="7"/>
      <c r="H33" s="14"/>
      <c r="I33" s="7"/>
      <c r="J33" s="7"/>
      <c r="K33" s="74" t="str">
        <f t="shared" si="0"/>
        <v/>
      </c>
      <c r="L33" s="108" t="str">
        <f>IF(K33="","",IF(COUNT(K33:K36)=4,(SUM(K33:K36)-MIN(K33:K36)),SUM(K33:K35)))</f>
        <v/>
      </c>
    </row>
    <row r="34" spans="1:12" x14ac:dyDescent="0.25">
      <c r="A34" s="72" t="str">
        <f>IF('Teams &amp; HM'!A50="","",'Teams &amp; HM'!A50)</f>
        <v/>
      </c>
      <c r="B34" s="72" t="str">
        <f>IF('Teams &amp; HM'!H53="","",'Teams &amp; HM'!H53)</f>
        <v/>
      </c>
      <c r="C34" s="72" t="str">
        <f>IF('Teams &amp; HM'!A53="","",'Teams &amp; HM'!A53)</f>
        <v/>
      </c>
      <c r="D34" s="72" t="str">
        <f>IF('Teams &amp; HM'!B53="","",'Teams &amp; HM'!B53)</f>
        <v/>
      </c>
      <c r="F34" s="7"/>
      <c r="G34" s="7"/>
      <c r="H34" s="14"/>
      <c r="I34" s="7"/>
      <c r="J34" s="7"/>
      <c r="K34" s="74" t="str">
        <f t="shared" si="0"/>
        <v/>
      </c>
      <c r="L34" s="109"/>
    </row>
    <row r="35" spans="1:12" x14ac:dyDescent="0.25">
      <c r="A35" s="72" t="str">
        <f>IF('Teams &amp; HM'!A50="","",'Teams &amp; HM'!A50)</f>
        <v/>
      </c>
      <c r="B35" s="72" t="str">
        <f>IF('Teams &amp; HM'!H54="","",'Teams &amp; HM'!H54)</f>
        <v/>
      </c>
      <c r="C35" s="72" t="str">
        <f>IF('Teams &amp; HM'!A54="","",'Teams &amp; HM'!A54)</f>
        <v/>
      </c>
      <c r="D35" s="72" t="str">
        <f>IF('Teams &amp; HM'!B54="","",'Teams &amp; HM'!B54)</f>
        <v/>
      </c>
      <c r="F35" s="7"/>
      <c r="G35" s="7"/>
      <c r="H35" s="14"/>
      <c r="I35" s="7"/>
      <c r="J35" s="7"/>
      <c r="K35" s="74" t="str">
        <f t="shared" si="0"/>
        <v/>
      </c>
      <c r="L35" s="109"/>
    </row>
    <row r="36" spans="1:12" x14ac:dyDescent="0.25">
      <c r="A36" s="72" t="str">
        <f>IF('Teams &amp; HM'!A50="","",'Teams &amp; HM'!A50)</f>
        <v/>
      </c>
      <c r="B36" s="72" t="str">
        <f>IF('Teams &amp; HM'!H55="","",'Teams &amp; HM'!H55)</f>
        <v/>
      </c>
      <c r="C36" s="72" t="str">
        <f>IF('Teams &amp; HM'!A55="","",'Teams &amp; HM'!A55)</f>
        <v/>
      </c>
      <c r="D36" s="72" t="str">
        <f>IF('Teams &amp; HM'!B55="","",'Teams &amp; HM'!B55)</f>
        <v/>
      </c>
      <c r="F36" s="7"/>
      <c r="G36" s="7"/>
      <c r="H36" s="14"/>
      <c r="I36" s="7"/>
      <c r="J36" s="7"/>
      <c r="K36" s="74" t="str">
        <f t="shared" si="0"/>
        <v/>
      </c>
      <c r="L36" s="110"/>
    </row>
    <row r="37" spans="1:12" hidden="1" x14ac:dyDescent="0.25">
      <c r="A37" s="72" t="str">
        <f>IF('Teams &amp; HM'!A50="","",'Teams &amp; HM'!A50)</f>
        <v/>
      </c>
      <c r="B37" s="72" t="str">
        <f>IF('Teams &amp; HM'!H56="","",'Teams &amp; HM'!H56)</f>
        <v/>
      </c>
      <c r="C37" s="72" t="str">
        <f>IF('Teams &amp; HM'!A56="","",'Teams &amp; HM'!A56)</f>
        <v/>
      </c>
      <c r="D37" s="72" t="str">
        <f>IF('Teams &amp; HM'!B56="","",'Teams &amp; HM'!B56)</f>
        <v/>
      </c>
      <c r="F37" s="7"/>
      <c r="G37" s="7"/>
      <c r="H37" s="14"/>
      <c r="I37" s="7"/>
      <c r="J37" s="7"/>
      <c r="K37" s="74" t="str">
        <f t="shared" si="0"/>
        <v/>
      </c>
      <c r="L37" s="75"/>
    </row>
    <row r="38" spans="1:12" x14ac:dyDescent="0.25">
      <c r="A38" s="72" t="str">
        <f>IF('Teams &amp; HM'!A58="","",'Teams &amp; HM'!A58)</f>
        <v/>
      </c>
      <c r="B38" s="72" t="str">
        <f>IF('Teams &amp; HM'!H60="","",'Teams &amp; HM'!H60)</f>
        <v/>
      </c>
      <c r="C38" s="72" t="str">
        <f>IF('Teams &amp; HM'!A60="","",'Teams &amp; HM'!A60)</f>
        <v/>
      </c>
      <c r="D38" s="72" t="str">
        <f>IF('Teams &amp; HM'!B60="","",'Teams &amp; HM'!B60)</f>
        <v/>
      </c>
      <c r="F38" s="7"/>
      <c r="G38" s="7"/>
      <c r="H38" s="14"/>
      <c r="I38" s="7"/>
      <c r="J38" s="7"/>
      <c r="K38" s="74" t="str">
        <f t="shared" si="0"/>
        <v/>
      </c>
      <c r="L38" s="108" t="str">
        <f>IF(K38="","",IF(COUNT(K38:K41)=4,(SUM(K38:K41)-MIN(K38:K41)),SUM(K38:K40)))</f>
        <v/>
      </c>
    </row>
    <row r="39" spans="1:12" x14ac:dyDescent="0.25">
      <c r="A39" s="72" t="str">
        <f>IF('Teams &amp; HM'!A58="","",'Teams &amp; HM'!A58)</f>
        <v/>
      </c>
      <c r="B39" s="72" t="str">
        <f>IF('Teams &amp; HM'!H61="","",'Teams &amp; HM'!H61)</f>
        <v/>
      </c>
      <c r="C39" s="72" t="str">
        <f>IF('Teams &amp; HM'!A61="","",'Teams &amp; HM'!A61)</f>
        <v/>
      </c>
      <c r="D39" s="72" t="str">
        <f>IF('Teams &amp; HM'!B61="","",'Teams &amp; HM'!B61)</f>
        <v/>
      </c>
      <c r="F39" s="7"/>
      <c r="G39" s="7"/>
      <c r="H39" s="14"/>
      <c r="I39" s="7"/>
      <c r="J39" s="7"/>
      <c r="K39" s="74" t="str">
        <f t="shared" si="0"/>
        <v/>
      </c>
      <c r="L39" s="109"/>
    </row>
    <row r="40" spans="1:12" x14ac:dyDescent="0.25">
      <c r="A40" s="72" t="str">
        <f>IF('Teams &amp; HM'!A58="","",'Teams &amp; HM'!A58)</f>
        <v/>
      </c>
      <c r="B40" s="72" t="str">
        <f>IF('Teams &amp; HM'!H62="","",'Teams &amp; HM'!H62)</f>
        <v/>
      </c>
      <c r="C40" s="72" t="str">
        <f>IF('Teams &amp; HM'!A62="","",'Teams &amp; HM'!A62)</f>
        <v/>
      </c>
      <c r="D40" s="72" t="str">
        <f>IF('Teams &amp; HM'!B62="","",'Teams &amp; HM'!B62)</f>
        <v/>
      </c>
      <c r="F40" s="7"/>
      <c r="G40" s="7"/>
      <c r="H40" s="14"/>
      <c r="I40" s="7"/>
      <c r="J40" s="7"/>
      <c r="K40" s="74" t="str">
        <f t="shared" si="0"/>
        <v/>
      </c>
      <c r="L40" s="109"/>
    </row>
    <row r="41" spans="1:12" x14ac:dyDescent="0.25">
      <c r="A41" s="72" t="str">
        <f>IF('Teams &amp; HM'!A58="","",'Teams &amp; HM'!A58)</f>
        <v/>
      </c>
      <c r="B41" s="72" t="str">
        <f>IF('Teams &amp; HM'!H63="","",'Teams &amp; HM'!H63)</f>
        <v/>
      </c>
      <c r="C41" s="72" t="str">
        <f>IF('Teams &amp; HM'!A63="","",'Teams &amp; HM'!A63)</f>
        <v/>
      </c>
      <c r="D41" s="72" t="str">
        <f>IF('Teams &amp; HM'!B63="","",'Teams &amp; HM'!B63)</f>
        <v/>
      </c>
      <c r="F41" s="7"/>
      <c r="G41" s="7"/>
      <c r="H41" s="14"/>
      <c r="I41" s="7"/>
      <c r="J41" s="7"/>
      <c r="K41" s="74" t="str">
        <f t="shared" si="0"/>
        <v/>
      </c>
      <c r="L41" s="110"/>
    </row>
    <row r="42" spans="1:12" hidden="1" x14ac:dyDescent="0.25">
      <c r="A42" s="72" t="str">
        <f>IF('Teams &amp; HM'!A58="","",'Teams &amp; HM'!A58)</f>
        <v/>
      </c>
      <c r="B42" s="72" t="str">
        <f>IF('Teams &amp; HM'!H64="","",'Teams &amp; HM'!H64)</f>
        <v/>
      </c>
      <c r="C42" s="72" t="str">
        <f>IF('Teams &amp; HM'!A64="","",'Teams &amp; HM'!A64)</f>
        <v/>
      </c>
      <c r="D42" s="72" t="str">
        <f>IF('Teams &amp; HM'!B64="","",'Teams &amp; HM'!B64)</f>
        <v/>
      </c>
      <c r="F42" s="7"/>
      <c r="G42" s="7"/>
      <c r="H42" s="14"/>
      <c r="I42" s="7"/>
      <c r="J42" s="7"/>
      <c r="K42" s="74" t="str">
        <f t="shared" si="0"/>
        <v/>
      </c>
      <c r="L42" s="75"/>
    </row>
    <row r="43" spans="1:12" x14ac:dyDescent="0.25">
      <c r="A43" s="72" t="str">
        <f>IF('Teams &amp; HM'!A66="","",'Teams &amp; HM'!A66)</f>
        <v/>
      </c>
      <c r="B43" s="72" t="str">
        <f>IF('Teams &amp; HM'!H68="","",'Teams &amp; HM'!H68)</f>
        <v/>
      </c>
      <c r="C43" s="72" t="str">
        <f>IF('Teams &amp; HM'!A68="","",'Teams &amp; HM'!A68)</f>
        <v/>
      </c>
      <c r="D43" s="72" t="str">
        <f>IF('Teams &amp; HM'!B68="","",'Teams &amp; HM'!B68)</f>
        <v/>
      </c>
      <c r="F43" s="7"/>
      <c r="G43" s="7"/>
      <c r="H43" s="14"/>
      <c r="I43" s="7"/>
      <c r="J43" s="7"/>
      <c r="K43" s="74" t="str">
        <f t="shared" si="0"/>
        <v/>
      </c>
      <c r="L43" s="108" t="str">
        <f>IF(K43="","",IF(COUNT(K43:K46)=4,(SUM(K43:K46)-MIN(K43:K46)),SUM(K43:K45)))</f>
        <v/>
      </c>
    </row>
    <row r="44" spans="1:12" x14ac:dyDescent="0.25">
      <c r="A44" s="72" t="str">
        <f>IF('Teams &amp; HM'!A66="","",'Teams &amp; HM'!A66)</f>
        <v/>
      </c>
      <c r="B44" s="72" t="str">
        <f>IF('Teams &amp; HM'!H69="","",'Teams &amp; HM'!H69)</f>
        <v/>
      </c>
      <c r="C44" s="72" t="str">
        <f>IF('Teams &amp; HM'!A69="","",'Teams &amp; HM'!A69)</f>
        <v/>
      </c>
      <c r="D44" s="72" t="str">
        <f>IF('Teams &amp; HM'!B69="","",'Teams &amp; HM'!B69)</f>
        <v/>
      </c>
      <c r="F44" s="7"/>
      <c r="G44" s="7"/>
      <c r="H44" s="14"/>
      <c r="I44" s="7"/>
      <c r="J44" s="7"/>
      <c r="K44" s="74" t="str">
        <f t="shared" si="0"/>
        <v/>
      </c>
      <c r="L44" s="109"/>
    </row>
    <row r="45" spans="1:12" x14ac:dyDescent="0.25">
      <c r="A45" s="72" t="str">
        <f>IF('Teams &amp; HM'!A66="","",'Teams &amp; HM'!A66)</f>
        <v/>
      </c>
      <c r="B45" s="72" t="str">
        <f>IF('Teams &amp; HM'!H70="","",'Teams &amp; HM'!H70)</f>
        <v/>
      </c>
      <c r="C45" s="72" t="str">
        <f>IF('Teams &amp; HM'!A70="","",'Teams &amp; HM'!A70)</f>
        <v/>
      </c>
      <c r="D45" s="72" t="str">
        <f>IF('Teams &amp; HM'!B70="","",'Teams &amp; HM'!B70)</f>
        <v/>
      </c>
      <c r="F45" s="7"/>
      <c r="G45" s="7"/>
      <c r="H45" s="14"/>
      <c r="I45" s="7"/>
      <c r="J45" s="7"/>
      <c r="K45" s="74" t="str">
        <f t="shared" si="0"/>
        <v/>
      </c>
      <c r="L45" s="109"/>
    </row>
    <row r="46" spans="1:12" x14ac:dyDescent="0.25">
      <c r="A46" s="72" t="str">
        <f>IF('Teams &amp; HM'!A66="","",'Teams &amp; HM'!A66)</f>
        <v/>
      </c>
      <c r="B46" s="72" t="str">
        <f>IF('Teams &amp; HM'!H71="","",'Teams &amp; HM'!H71)</f>
        <v/>
      </c>
      <c r="C46" s="72" t="str">
        <f>IF('Teams &amp; HM'!A71="","",'Teams &amp; HM'!A71)</f>
        <v/>
      </c>
      <c r="D46" s="72" t="str">
        <f>IF('Teams &amp; HM'!B71="","",'Teams &amp; HM'!B71)</f>
        <v/>
      </c>
      <c r="F46" s="7"/>
      <c r="G46" s="7"/>
      <c r="H46" s="14"/>
      <c r="I46" s="7"/>
      <c r="J46" s="7"/>
      <c r="K46" s="74" t="str">
        <f t="shared" si="0"/>
        <v/>
      </c>
      <c r="L46" s="110"/>
    </row>
    <row r="47" spans="1:12" hidden="1" x14ac:dyDescent="0.25">
      <c r="A47" s="72" t="str">
        <f>IF('Teams &amp; HM'!A66="","",'Teams &amp; HM'!A66)</f>
        <v/>
      </c>
      <c r="B47" s="72" t="str">
        <f>IF('Teams &amp; HM'!H72="","",'Teams &amp; HM'!H72)</f>
        <v/>
      </c>
      <c r="C47" s="72" t="str">
        <f>IF('Teams &amp; HM'!A72="","",'Teams &amp; HM'!A72)</f>
        <v/>
      </c>
      <c r="D47" s="72" t="str">
        <f>IF('Teams &amp; HM'!B72="","",'Teams &amp; HM'!B72)</f>
        <v/>
      </c>
      <c r="F47" s="7"/>
      <c r="G47" s="7"/>
      <c r="H47" s="14"/>
      <c r="I47" s="7"/>
      <c r="J47" s="7"/>
      <c r="K47" s="74" t="str">
        <f t="shared" si="0"/>
        <v/>
      </c>
      <c r="L47" s="75"/>
    </row>
    <row r="48" spans="1:12" x14ac:dyDescent="0.25">
      <c r="A48" s="72" t="str">
        <f>IF('Teams &amp; HM'!A74="","",'Teams &amp; HM'!A74)</f>
        <v/>
      </c>
      <c r="B48" s="72" t="str">
        <f>IF('Teams &amp; HM'!H76="","",'Teams &amp; HM'!H76)</f>
        <v/>
      </c>
      <c r="C48" s="72" t="str">
        <f>IF('Teams &amp; HM'!A76="","",'Teams &amp; HM'!A76)</f>
        <v/>
      </c>
      <c r="D48" s="72" t="str">
        <f>IF('Teams &amp; HM'!B76="","",'Teams &amp; HM'!B76)</f>
        <v/>
      </c>
      <c r="F48" s="7"/>
      <c r="G48" s="7"/>
      <c r="H48" s="14"/>
      <c r="I48" s="7"/>
      <c r="J48" s="7"/>
      <c r="K48" s="74" t="str">
        <f t="shared" si="0"/>
        <v/>
      </c>
      <c r="L48" s="108" t="str">
        <f>IF(K48="","",IF(COUNT(K48:K51)=4,(SUM(K48:K51)-MIN(K48:K51)),SUM(K48:K50)))</f>
        <v/>
      </c>
    </row>
    <row r="49" spans="1:12" x14ac:dyDescent="0.25">
      <c r="A49" s="72" t="str">
        <f>IF('Teams &amp; HM'!A74="","",'Teams &amp; HM'!A74)</f>
        <v/>
      </c>
      <c r="B49" s="72" t="str">
        <f>IF('Teams &amp; HM'!H77="","",'Teams &amp; HM'!H77)</f>
        <v/>
      </c>
      <c r="C49" s="72" t="str">
        <f>IF('Teams &amp; HM'!A77="","",'Teams &amp; HM'!A77)</f>
        <v/>
      </c>
      <c r="D49" s="72" t="str">
        <f>IF('Teams &amp; HM'!B77="","",'Teams &amp; HM'!B77)</f>
        <v/>
      </c>
      <c r="F49" s="7"/>
      <c r="G49" s="7"/>
      <c r="H49" s="14"/>
      <c r="I49" s="7"/>
      <c r="J49" s="7"/>
      <c r="K49" s="74" t="str">
        <f t="shared" si="0"/>
        <v/>
      </c>
      <c r="L49" s="109"/>
    </row>
    <row r="50" spans="1:12" x14ac:dyDescent="0.25">
      <c r="A50" s="72" t="str">
        <f>IF('Teams &amp; HM'!A74="","",'Teams &amp; HM'!A74)</f>
        <v/>
      </c>
      <c r="B50" s="72" t="str">
        <f>IF('Teams &amp; HM'!H78="","",'Teams &amp; HM'!H78)</f>
        <v/>
      </c>
      <c r="C50" s="72" t="str">
        <f>IF('Teams &amp; HM'!A78="","",'Teams &amp; HM'!A78)</f>
        <v/>
      </c>
      <c r="D50" s="72" t="str">
        <f>IF('Teams &amp; HM'!B78="","",'Teams &amp; HM'!B78)</f>
        <v/>
      </c>
      <c r="F50" s="7"/>
      <c r="G50" s="7"/>
      <c r="H50" s="14"/>
      <c r="I50" s="7"/>
      <c r="J50" s="7"/>
      <c r="K50" s="74" t="str">
        <f t="shared" si="0"/>
        <v/>
      </c>
      <c r="L50" s="109"/>
    </row>
    <row r="51" spans="1:12" x14ac:dyDescent="0.25">
      <c r="A51" s="72" t="str">
        <f>IF('Teams &amp; HM'!A74="","",'Teams &amp; HM'!A74)</f>
        <v/>
      </c>
      <c r="B51" s="72" t="str">
        <f>IF('Teams &amp; HM'!H79="","",'Teams &amp; HM'!H79)</f>
        <v/>
      </c>
      <c r="C51" s="72" t="str">
        <f>IF('Teams &amp; HM'!A79="","",'Teams &amp; HM'!A79)</f>
        <v/>
      </c>
      <c r="D51" s="72" t="str">
        <f>IF('Teams &amp; HM'!B79="","",'Teams &amp; HM'!B79)</f>
        <v/>
      </c>
      <c r="F51" s="7"/>
      <c r="G51" s="7"/>
      <c r="H51" s="14"/>
      <c r="I51" s="7"/>
      <c r="J51" s="7"/>
      <c r="K51" s="74" t="str">
        <f t="shared" si="0"/>
        <v/>
      </c>
      <c r="L51" s="110"/>
    </row>
    <row r="52" spans="1:12" hidden="1" x14ac:dyDescent="0.25">
      <c r="A52" s="72" t="str">
        <f>IF('Teams &amp; HM'!A74="","",'Teams &amp; HM'!A74)</f>
        <v/>
      </c>
      <c r="B52" s="72" t="str">
        <f>IF('Teams &amp; HM'!H80="","",'Teams &amp; HM'!H80)</f>
        <v/>
      </c>
      <c r="C52" s="72" t="str">
        <f>IF('Teams &amp; HM'!A80="","",'Teams &amp; HM'!A80)</f>
        <v/>
      </c>
      <c r="D52" s="72" t="str">
        <f>IF('Teams &amp; HM'!B80="","",'Teams &amp; HM'!B80)</f>
        <v/>
      </c>
      <c r="F52" s="7"/>
      <c r="G52" s="7"/>
      <c r="H52" s="14"/>
      <c r="I52" s="7"/>
      <c r="J52" s="7"/>
      <c r="K52" s="74" t="str">
        <f t="shared" si="0"/>
        <v/>
      </c>
      <c r="L52" s="75"/>
    </row>
    <row r="53" spans="1:12" x14ac:dyDescent="0.25">
      <c r="A53" s="72" t="str">
        <f>IF('Teams &amp; HM'!A82="","",'Teams &amp; HM'!A82)</f>
        <v/>
      </c>
      <c r="B53" s="72" t="str">
        <f>IF('Teams &amp; HM'!H84="","",'Teams &amp; HM'!H84)</f>
        <v/>
      </c>
      <c r="C53" s="72" t="str">
        <f>IF('Teams &amp; HM'!A84="","",'Teams &amp; HM'!A84)</f>
        <v/>
      </c>
      <c r="D53" s="72" t="str">
        <f>IF('Teams &amp; HM'!B84="","",'Teams &amp; HM'!B84)</f>
        <v/>
      </c>
      <c r="F53" s="7"/>
      <c r="G53" s="7"/>
      <c r="H53" s="14"/>
      <c r="I53" s="7"/>
      <c r="J53" s="7"/>
      <c r="K53" s="74" t="str">
        <f t="shared" si="0"/>
        <v/>
      </c>
      <c r="L53" s="108" t="str">
        <f>IF(K53="","",IF(COUNT(K53:K56)=4,(SUM(K53:K56)-MIN(K53:K56)),SUM(K53:K55)))</f>
        <v/>
      </c>
    </row>
    <row r="54" spans="1:12" x14ac:dyDescent="0.25">
      <c r="A54" s="72" t="str">
        <f>IF('Teams &amp; HM'!A82="","",'Teams &amp; HM'!A82)</f>
        <v/>
      </c>
      <c r="B54" s="72" t="str">
        <f>IF('Teams &amp; HM'!H85="","",'Teams &amp; HM'!H85)</f>
        <v/>
      </c>
      <c r="C54" s="72" t="str">
        <f>IF('Teams &amp; HM'!A85="","",'Teams &amp; HM'!A85)</f>
        <v/>
      </c>
      <c r="D54" s="72" t="str">
        <f>IF('Teams &amp; HM'!B85="","",'Teams &amp; HM'!B85)</f>
        <v/>
      </c>
      <c r="F54" s="7"/>
      <c r="G54" s="7"/>
      <c r="H54" s="14"/>
      <c r="I54" s="7"/>
      <c r="J54" s="7"/>
      <c r="K54" s="74" t="str">
        <f t="shared" si="0"/>
        <v/>
      </c>
      <c r="L54" s="109"/>
    </row>
    <row r="55" spans="1:12" x14ac:dyDescent="0.25">
      <c r="A55" s="72" t="str">
        <f>IF('Teams &amp; HM'!A82="","",'Teams &amp; HM'!A82)</f>
        <v/>
      </c>
      <c r="B55" s="72" t="str">
        <f>IF('Teams &amp; HM'!H86="","",'Teams &amp; HM'!H86)</f>
        <v/>
      </c>
      <c r="C55" s="72" t="str">
        <f>IF('Teams &amp; HM'!A86="","",'Teams &amp; HM'!A86)</f>
        <v/>
      </c>
      <c r="D55" s="72" t="str">
        <f>IF('Teams &amp; HM'!B86="","",'Teams &amp; HM'!B86)</f>
        <v/>
      </c>
      <c r="F55" s="7"/>
      <c r="G55" s="7"/>
      <c r="H55" s="14"/>
      <c r="I55" s="7"/>
      <c r="J55" s="7"/>
      <c r="K55" s="74" t="str">
        <f t="shared" si="0"/>
        <v/>
      </c>
      <c r="L55" s="109"/>
    </row>
    <row r="56" spans="1:12" x14ac:dyDescent="0.25">
      <c r="A56" s="72" t="str">
        <f>IF('Teams &amp; HM'!A82="","",'Teams &amp; HM'!A82)</f>
        <v/>
      </c>
      <c r="B56" s="72" t="str">
        <f>IF('Teams &amp; HM'!H87="","",'Teams &amp; HM'!H87)</f>
        <v/>
      </c>
      <c r="C56" s="72" t="str">
        <f>IF('Teams &amp; HM'!A87="","",'Teams &amp; HM'!A87)</f>
        <v/>
      </c>
      <c r="D56" s="72" t="str">
        <f>IF('Teams &amp; HM'!B87="","",'Teams &amp; HM'!B87)</f>
        <v/>
      </c>
      <c r="F56" s="7"/>
      <c r="G56" s="7"/>
      <c r="H56" s="14"/>
      <c r="I56" s="7"/>
      <c r="J56" s="7"/>
      <c r="K56" s="74" t="str">
        <f t="shared" si="0"/>
        <v/>
      </c>
      <c r="L56" s="110"/>
    </row>
    <row r="57" spans="1:12" hidden="1" x14ac:dyDescent="0.25">
      <c r="A57" s="72" t="str">
        <f>IF('Teams &amp; HM'!A82="","",'Teams &amp; HM'!A82)</f>
        <v/>
      </c>
      <c r="B57" s="72" t="str">
        <f>IF('Teams &amp; HM'!H88="","",'Teams &amp; HM'!H88)</f>
        <v/>
      </c>
      <c r="C57" s="72" t="str">
        <f>IF('Teams &amp; HM'!A88="","",'Teams &amp; HM'!A88)</f>
        <v/>
      </c>
      <c r="D57" s="72" t="str">
        <f>IF('Teams &amp; HM'!B88="","",'Teams &amp; HM'!B88)</f>
        <v/>
      </c>
      <c r="F57" s="7"/>
      <c r="G57" s="7"/>
      <c r="H57" s="14"/>
      <c r="I57" s="7"/>
      <c r="J57" s="7"/>
      <c r="K57" s="74" t="str">
        <f t="shared" si="0"/>
        <v/>
      </c>
      <c r="L57" s="75"/>
    </row>
    <row r="58" spans="1:12" x14ac:dyDescent="0.25">
      <c r="A58" s="72" t="str">
        <f>IF('Teams &amp; HM'!A90="","",'Teams &amp; HM'!A90)</f>
        <v/>
      </c>
      <c r="B58" s="72" t="str">
        <f>IF('Teams &amp; HM'!H92="","",'Teams &amp; HM'!H92)</f>
        <v/>
      </c>
      <c r="C58" s="72" t="str">
        <f>IF('Teams &amp; HM'!A92="","",'Teams &amp; HM'!A92)</f>
        <v/>
      </c>
      <c r="D58" s="72" t="str">
        <f>IF('Teams &amp; HM'!B92="","",'Teams &amp; HM'!B92)</f>
        <v/>
      </c>
      <c r="F58" s="7"/>
      <c r="G58" s="7"/>
      <c r="H58" s="14"/>
      <c r="I58" s="7"/>
      <c r="J58" s="7"/>
      <c r="K58" s="74" t="str">
        <f t="shared" si="0"/>
        <v/>
      </c>
      <c r="L58" s="108" t="str">
        <f>IF(K58="","",IF(COUNT(K58:K61)=4,(SUM(K58:K61)-MIN(K58:K61)),SUM(K58:K60)))</f>
        <v/>
      </c>
    </row>
    <row r="59" spans="1:12" x14ac:dyDescent="0.25">
      <c r="A59" s="72" t="str">
        <f>IF('Teams &amp; HM'!A90="","",'Teams &amp; HM'!A90)</f>
        <v/>
      </c>
      <c r="B59" s="72" t="str">
        <f>IF('Teams &amp; HM'!H93="","",'Teams &amp; HM'!H93)</f>
        <v/>
      </c>
      <c r="C59" s="72" t="str">
        <f>IF('Teams &amp; HM'!A93="","",'Teams &amp; HM'!A93)</f>
        <v/>
      </c>
      <c r="D59" s="72" t="str">
        <f>IF('Teams &amp; HM'!B93="","",'Teams &amp; HM'!B93)</f>
        <v/>
      </c>
      <c r="F59" s="7"/>
      <c r="G59" s="7"/>
      <c r="H59" s="14"/>
      <c r="I59" s="7"/>
      <c r="J59" s="7"/>
      <c r="K59" s="74" t="str">
        <f t="shared" si="0"/>
        <v/>
      </c>
      <c r="L59" s="109"/>
    </row>
    <row r="60" spans="1:12" x14ac:dyDescent="0.25">
      <c r="A60" s="72" t="str">
        <f>IF('Teams &amp; HM'!A90="","",'Teams &amp; HM'!A90)</f>
        <v/>
      </c>
      <c r="B60" s="72" t="str">
        <f>IF('Teams &amp; HM'!H94="","",'Teams &amp; HM'!H94)</f>
        <v/>
      </c>
      <c r="C60" s="72" t="str">
        <f>IF('Teams &amp; HM'!A94="","",'Teams &amp; HM'!A94)</f>
        <v/>
      </c>
      <c r="D60" s="72" t="str">
        <f>IF('Teams &amp; HM'!B94="","",'Teams &amp; HM'!B94)</f>
        <v/>
      </c>
      <c r="F60" s="7"/>
      <c r="G60" s="7"/>
      <c r="H60" s="14"/>
      <c r="I60" s="7"/>
      <c r="J60" s="7"/>
      <c r="K60" s="74" t="str">
        <f t="shared" si="0"/>
        <v/>
      </c>
      <c r="L60" s="109"/>
    </row>
    <row r="61" spans="1:12" x14ac:dyDescent="0.25">
      <c r="A61" s="72" t="str">
        <f>IF('Teams &amp; HM'!A90="","",'Teams &amp; HM'!A90)</f>
        <v/>
      </c>
      <c r="B61" s="72" t="str">
        <f>IF('Teams &amp; HM'!H95="","",'Teams &amp; HM'!H95)</f>
        <v/>
      </c>
      <c r="C61" s="72" t="str">
        <f>IF('Teams &amp; HM'!A95="","",'Teams &amp; HM'!A95)</f>
        <v/>
      </c>
      <c r="D61" s="72" t="str">
        <f>IF('Teams &amp; HM'!B95="","",'Teams &amp; HM'!B95)</f>
        <v/>
      </c>
      <c r="F61" s="7"/>
      <c r="G61" s="7"/>
      <c r="H61" s="14"/>
      <c r="I61" s="7"/>
      <c r="J61" s="7"/>
      <c r="K61" s="74" t="str">
        <f t="shared" si="0"/>
        <v/>
      </c>
      <c r="L61" s="110"/>
    </row>
    <row r="62" spans="1:12" hidden="1" x14ac:dyDescent="0.25">
      <c r="A62" s="72" t="str">
        <f>IF('Teams &amp; HM'!A90="","",'Teams &amp; HM'!A90)</f>
        <v/>
      </c>
      <c r="B62" s="72" t="str">
        <f>IF('Teams &amp; HM'!H96="","",'Teams &amp; HM'!H96)</f>
        <v/>
      </c>
      <c r="C62" s="72" t="str">
        <f>IF('Teams &amp; HM'!A96="","",'Teams &amp; HM'!A96)</f>
        <v/>
      </c>
      <c r="D62" s="72" t="str">
        <f>IF('Teams &amp; HM'!B96="","",'Teams &amp; HM'!B96)</f>
        <v/>
      </c>
      <c r="F62" s="7"/>
      <c r="G62" s="7"/>
      <c r="H62" s="14"/>
      <c r="I62" s="7"/>
      <c r="J62" s="7"/>
      <c r="K62" s="74" t="str">
        <f t="shared" si="0"/>
        <v/>
      </c>
      <c r="L62" s="75"/>
    </row>
    <row r="63" spans="1:12" x14ac:dyDescent="0.25">
      <c r="A63" s="72" t="str">
        <f>IF('Teams &amp; HM'!A98="","",'Teams &amp; HM'!A98)</f>
        <v/>
      </c>
      <c r="B63" s="72" t="str">
        <f>IF('Teams &amp; HM'!H100="","",'Teams &amp; HM'!H100)</f>
        <v/>
      </c>
      <c r="C63" s="72" t="str">
        <f>IF('Teams &amp; HM'!A100="","",'Teams &amp; HM'!A100)</f>
        <v/>
      </c>
      <c r="D63" s="72" t="str">
        <f>IF('Teams &amp; HM'!B100="","",'Teams &amp; HM'!B100)</f>
        <v/>
      </c>
      <c r="F63" s="7"/>
      <c r="G63" s="7"/>
      <c r="H63" s="14"/>
      <c r="I63" s="7"/>
      <c r="J63" s="7"/>
      <c r="K63" s="74" t="str">
        <f t="shared" si="0"/>
        <v/>
      </c>
      <c r="L63" s="108" t="str">
        <f>IF(K63="","",IF(COUNT(K63:K66)=4,(SUM(K63:K66)-MIN(K63:K66)),SUM(K63:K65)))</f>
        <v/>
      </c>
    </row>
    <row r="64" spans="1:12" x14ac:dyDescent="0.25">
      <c r="A64" s="72" t="str">
        <f>IF('Teams &amp; HM'!A98="","",'Teams &amp; HM'!A98)</f>
        <v/>
      </c>
      <c r="B64" s="72" t="str">
        <f>IF('Teams &amp; HM'!H101="","",'Teams &amp; HM'!H101)</f>
        <v/>
      </c>
      <c r="C64" s="72" t="str">
        <f>IF('Teams &amp; HM'!A101="","",'Teams &amp; HM'!A101)</f>
        <v/>
      </c>
      <c r="D64" s="72" t="str">
        <f>IF('Teams &amp; HM'!B101="","",'Teams &amp; HM'!B101)</f>
        <v/>
      </c>
      <c r="F64" s="7"/>
      <c r="G64" s="7"/>
      <c r="H64" s="14"/>
      <c r="I64" s="7"/>
      <c r="J64" s="7"/>
      <c r="K64" s="74" t="str">
        <f t="shared" si="0"/>
        <v/>
      </c>
      <c r="L64" s="109"/>
    </row>
    <row r="65" spans="1:12" x14ac:dyDescent="0.25">
      <c r="A65" s="72" t="str">
        <f>IF('Teams &amp; HM'!A98="","",'Teams &amp; HM'!A98)</f>
        <v/>
      </c>
      <c r="B65" s="72" t="str">
        <f>IF('Teams &amp; HM'!H102="","",'Teams &amp; HM'!H102)</f>
        <v/>
      </c>
      <c r="C65" s="72" t="str">
        <f>IF('Teams &amp; HM'!A102="","",'Teams &amp; HM'!A102)</f>
        <v/>
      </c>
      <c r="D65" s="72" t="str">
        <f>IF('Teams &amp; HM'!B102="","",'Teams &amp; HM'!B102)</f>
        <v/>
      </c>
      <c r="F65" s="7"/>
      <c r="G65" s="7"/>
      <c r="H65" s="14"/>
      <c r="I65" s="7"/>
      <c r="J65" s="7"/>
      <c r="K65" s="74" t="str">
        <f t="shared" si="0"/>
        <v/>
      </c>
      <c r="L65" s="109"/>
    </row>
    <row r="66" spans="1:12" x14ac:dyDescent="0.25">
      <c r="A66" s="72" t="str">
        <f>IF('Teams &amp; HM'!A98="","",'Teams &amp; HM'!A98)</f>
        <v/>
      </c>
      <c r="B66" s="72" t="str">
        <f>IF('Teams &amp; HM'!H103="","",'Teams &amp; HM'!H103)</f>
        <v/>
      </c>
      <c r="C66" s="72" t="str">
        <f>IF('Teams &amp; HM'!A103="","",'Teams &amp; HM'!A103)</f>
        <v/>
      </c>
      <c r="D66" s="72" t="str">
        <f>IF('Teams &amp; HM'!B103="","",'Teams &amp; HM'!B103)</f>
        <v/>
      </c>
      <c r="F66" s="7"/>
      <c r="G66" s="7"/>
      <c r="H66" s="14"/>
      <c r="I66" s="7"/>
      <c r="J66" s="7"/>
      <c r="K66" s="74" t="str">
        <f t="shared" si="0"/>
        <v/>
      </c>
      <c r="L66" s="110"/>
    </row>
    <row r="67" spans="1:12" hidden="1" x14ac:dyDescent="0.25">
      <c r="A67" s="72" t="str">
        <f>IF('Teams &amp; HM'!A98="","",'Teams &amp; HM'!A98)</f>
        <v/>
      </c>
      <c r="B67" s="72" t="str">
        <f>IF('Teams &amp; HM'!H104="","",'Teams &amp; HM'!H104)</f>
        <v/>
      </c>
      <c r="C67" s="72" t="str">
        <f>IF('Teams &amp; HM'!A104="","",'Teams &amp; HM'!A104)</f>
        <v/>
      </c>
      <c r="D67" s="72" t="str">
        <f>IF('Teams &amp; HM'!B104="","",'Teams &amp; HM'!B104)</f>
        <v/>
      </c>
      <c r="F67" s="7"/>
      <c r="G67" s="7"/>
      <c r="H67" s="14"/>
      <c r="I67" s="7"/>
      <c r="J67" s="7"/>
      <c r="K67" s="74" t="str">
        <f t="shared" si="0"/>
        <v/>
      </c>
      <c r="L67" s="75"/>
    </row>
    <row r="68" spans="1:12" x14ac:dyDescent="0.25">
      <c r="A68" s="72" t="str">
        <f>IF('Teams &amp; HM'!A106="","",'Teams &amp; HM'!A106)</f>
        <v/>
      </c>
      <c r="B68" s="72" t="str">
        <f>IF('Teams &amp; HM'!H108="","",'Teams &amp; HM'!H108)</f>
        <v/>
      </c>
      <c r="C68" s="72" t="str">
        <f>IF('Teams &amp; HM'!A108="","",'Teams &amp; HM'!A108)</f>
        <v/>
      </c>
      <c r="D68" s="72" t="str">
        <f>IF('Teams &amp; HM'!B108="","",'Teams &amp; HM'!B108)</f>
        <v/>
      </c>
      <c r="F68" s="7"/>
      <c r="G68" s="7"/>
      <c r="H68" s="14"/>
      <c r="I68" s="7"/>
      <c r="J68" s="7"/>
      <c r="K68" s="74" t="str">
        <f t="shared" ref="K68:K82" si="1">IF(I68="","",I68-J68)</f>
        <v/>
      </c>
      <c r="L68" s="108" t="str">
        <f>IF(K68="","",IF(COUNT(K68:K71)=4,(SUM(K68:K71)-MIN(K68:K71)),SUM(K68:K70)))</f>
        <v/>
      </c>
    </row>
    <row r="69" spans="1:12" x14ac:dyDescent="0.25">
      <c r="A69" s="72" t="str">
        <f>IF('Teams &amp; HM'!A106="","",'Teams &amp; HM'!A106)</f>
        <v/>
      </c>
      <c r="B69" s="72" t="str">
        <f>IF('Teams &amp; HM'!H109="","",'Teams &amp; HM'!H109)</f>
        <v/>
      </c>
      <c r="C69" s="72" t="str">
        <f>IF('Teams &amp; HM'!A109="","",'Teams &amp; HM'!A109)</f>
        <v/>
      </c>
      <c r="D69" s="72" t="str">
        <f>IF('Teams &amp; HM'!B109="","",'Teams &amp; HM'!B109)</f>
        <v/>
      </c>
      <c r="F69" s="7"/>
      <c r="G69" s="7"/>
      <c r="H69" s="14"/>
      <c r="I69" s="7"/>
      <c r="J69" s="7"/>
      <c r="K69" s="74" t="str">
        <f t="shared" si="1"/>
        <v/>
      </c>
      <c r="L69" s="109"/>
    </row>
    <row r="70" spans="1:12" x14ac:dyDescent="0.25">
      <c r="A70" s="72" t="str">
        <f>IF('Teams &amp; HM'!A106="","",'Teams &amp; HM'!A106)</f>
        <v/>
      </c>
      <c r="B70" s="72" t="str">
        <f>IF('Teams &amp; HM'!H110="","",'Teams &amp; HM'!H110)</f>
        <v/>
      </c>
      <c r="C70" s="72" t="str">
        <f>IF('Teams &amp; HM'!A110="","",'Teams &amp; HM'!A110)</f>
        <v/>
      </c>
      <c r="D70" s="72" t="str">
        <f>IF('Teams &amp; HM'!B110="","",'Teams &amp; HM'!B110)</f>
        <v/>
      </c>
      <c r="F70" s="7"/>
      <c r="G70" s="7"/>
      <c r="H70" s="14"/>
      <c r="I70" s="7"/>
      <c r="J70" s="7"/>
      <c r="K70" s="74" t="str">
        <f t="shared" si="1"/>
        <v/>
      </c>
      <c r="L70" s="109"/>
    </row>
    <row r="71" spans="1:12" x14ac:dyDescent="0.25">
      <c r="A71" s="72" t="str">
        <f>IF('Teams &amp; HM'!A106="","",'Teams &amp; HM'!A106)</f>
        <v/>
      </c>
      <c r="B71" s="72" t="str">
        <f>IF('Teams &amp; HM'!H111="","",'Teams &amp; HM'!H111)</f>
        <v/>
      </c>
      <c r="C71" s="72" t="str">
        <f>IF('Teams &amp; HM'!A111="","",'Teams &amp; HM'!A111)</f>
        <v/>
      </c>
      <c r="D71" s="72" t="str">
        <f>IF('Teams &amp; HM'!B111="","",'Teams &amp; HM'!B111)</f>
        <v/>
      </c>
      <c r="F71" s="7"/>
      <c r="G71" s="7"/>
      <c r="H71" s="14"/>
      <c r="I71" s="7"/>
      <c r="J71" s="7"/>
      <c r="K71" s="74" t="str">
        <f t="shared" si="1"/>
        <v/>
      </c>
      <c r="L71" s="110"/>
    </row>
    <row r="72" spans="1:12" hidden="1" x14ac:dyDescent="0.25">
      <c r="A72" s="72" t="str">
        <f>IF('Teams &amp; HM'!A106="","",'Teams &amp; HM'!A106)</f>
        <v/>
      </c>
      <c r="B72" s="72" t="str">
        <f>IF('Teams &amp; HM'!H112="","",'Teams &amp; HM'!H112)</f>
        <v/>
      </c>
      <c r="C72" s="72" t="str">
        <f>IF('Teams &amp; HM'!A112="","",'Teams &amp; HM'!A112)</f>
        <v/>
      </c>
      <c r="D72" s="72" t="str">
        <f>IF('Teams &amp; HM'!B112="","",'Teams &amp; HM'!B112)</f>
        <v/>
      </c>
      <c r="F72" s="7"/>
      <c r="G72" s="7"/>
      <c r="H72" s="14"/>
      <c r="I72" s="7"/>
      <c r="J72" s="7"/>
      <c r="K72" s="74" t="str">
        <f t="shared" si="1"/>
        <v/>
      </c>
      <c r="L72" s="75"/>
    </row>
    <row r="73" spans="1:12" x14ac:dyDescent="0.25">
      <c r="A73" s="72" t="str">
        <f>IF('Teams &amp; HM'!A114="","",'Teams &amp; HM'!A114)</f>
        <v/>
      </c>
      <c r="B73" s="72" t="str">
        <f>IF('Teams &amp; HM'!H116="","",'Teams &amp; HM'!H116)</f>
        <v/>
      </c>
      <c r="C73" s="72" t="str">
        <f>IF('Teams &amp; HM'!A116="","",'Teams &amp; HM'!A116)</f>
        <v/>
      </c>
      <c r="D73" s="72" t="str">
        <f>IF('Teams &amp; HM'!B116="","",'Teams &amp; HM'!B116)</f>
        <v/>
      </c>
      <c r="F73" s="7"/>
      <c r="G73" s="7"/>
      <c r="H73" s="14"/>
      <c r="I73" s="7"/>
      <c r="J73" s="7"/>
      <c r="K73" s="74" t="str">
        <f t="shared" si="1"/>
        <v/>
      </c>
      <c r="L73" s="108" t="str">
        <f>IF(K73="","",IF(COUNT(K73:K76)=4,(SUM(K73:K76)-MIN(K73:K76)),SUM(K73:K75)))</f>
        <v/>
      </c>
    </row>
    <row r="74" spans="1:12" x14ac:dyDescent="0.25">
      <c r="A74" s="72" t="str">
        <f>IF('Teams &amp; HM'!A114="","",'Teams &amp; HM'!A114)</f>
        <v/>
      </c>
      <c r="B74" s="72" t="str">
        <f>IF('Teams &amp; HM'!H117="","",'Teams &amp; HM'!H117)</f>
        <v/>
      </c>
      <c r="C74" s="72" t="str">
        <f>IF('Teams &amp; HM'!A117="","",'Teams &amp; HM'!A117)</f>
        <v/>
      </c>
      <c r="D74" s="72" t="str">
        <f>IF('Teams &amp; HM'!B117="","",'Teams &amp; HM'!B117)</f>
        <v/>
      </c>
      <c r="F74" s="7"/>
      <c r="G74" s="7"/>
      <c r="H74" s="14"/>
      <c r="I74" s="7"/>
      <c r="J74" s="7"/>
      <c r="K74" s="74" t="str">
        <f t="shared" si="1"/>
        <v/>
      </c>
      <c r="L74" s="109"/>
    </row>
    <row r="75" spans="1:12" x14ac:dyDescent="0.25">
      <c r="A75" s="72" t="str">
        <f>IF('Teams &amp; HM'!A114="","",'Teams &amp; HM'!A114)</f>
        <v/>
      </c>
      <c r="B75" s="72" t="str">
        <f>IF('Teams &amp; HM'!H118="","",'Teams &amp; HM'!H118)</f>
        <v/>
      </c>
      <c r="C75" s="72" t="str">
        <f>IF('Teams &amp; HM'!A118="","",'Teams &amp; HM'!A118)</f>
        <v/>
      </c>
      <c r="D75" s="72" t="str">
        <f>IF('Teams &amp; HM'!B118="","",'Teams &amp; HM'!B118)</f>
        <v/>
      </c>
      <c r="F75" s="7"/>
      <c r="G75" s="7"/>
      <c r="H75" s="14"/>
      <c r="I75" s="7"/>
      <c r="J75" s="7"/>
      <c r="K75" s="74" t="str">
        <f t="shared" si="1"/>
        <v/>
      </c>
      <c r="L75" s="109"/>
    </row>
    <row r="76" spans="1:12" x14ac:dyDescent="0.25">
      <c r="A76" s="72" t="str">
        <f>IF('Teams &amp; HM'!A114="","",'Teams &amp; HM'!A114)</f>
        <v/>
      </c>
      <c r="B76" s="72" t="str">
        <f>IF('Teams &amp; HM'!H119="","",'Teams &amp; HM'!H119)</f>
        <v/>
      </c>
      <c r="C76" s="72" t="str">
        <f>IF('Teams &amp; HM'!A119="","",'Teams &amp; HM'!A119)</f>
        <v/>
      </c>
      <c r="D76" s="72" t="str">
        <f>IF('Teams &amp; HM'!B119="","",'Teams &amp; HM'!B119)</f>
        <v/>
      </c>
      <c r="F76" s="7"/>
      <c r="G76" s="7"/>
      <c r="H76" s="14"/>
      <c r="I76" s="7"/>
      <c r="J76" s="7"/>
      <c r="K76" s="74" t="str">
        <f t="shared" si="1"/>
        <v/>
      </c>
      <c r="L76" s="110"/>
    </row>
    <row r="77" spans="1:12" hidden="1" x14ac:dyDescent="0.25">
      <c r="A77" s="72" t="str">
        <f>IF('Teams &amp; HM'!A114="","",'Teams &amp; HM'!A114)</f>
        <v/>
      </c>
      <c r="B77" s="72" t="str">
        <f>IF('Teams &amp; HM'!H120="","",'Teams &amp; HM'!H120)</f>
        <v/>
      </c>
      <c r="C77" s="72" t="str">
        <f>IF('Teams &amp; HM'!A120="","",'Teams &amp; HM'!A120)</f>
        <v/>
      </c>
      <c r="D77" s="72" t="str">
        <f>IF('Teams &amp; HM'!B120="","",'Teams &amp; HM'!B120)</f>
        <v/>
      </c>
      <c r="F77" s="7"/>
      <c r="G77" s="7"/>
      <c r="H77" s="14"/>
      <c r="I77" s="7"/>
      <c r="J77" s="7"/>
      <c r="K77" s="74" t="str">
        <f t="shared" si="1"/>
        <v/>
      </c>
      <c r="L77" s="75"/>
    </row>
    <row r="78" spans="1:12" x14ac:dyDescent="0.25">
      <c r="A78" s="72" t="str">
        <f>IF('Teams &amp; HM'!A122="","",'Teams &amp; HM'!A122)</f>
        <v/>
      </c>
      <c r="B78" s="72" t="str">
        <f>IF('Teams &amp; HM'!H124="","",'Teams &amp; HM'!H124)</f>
        <v/>
      </c>
      <c r="C78" s="72" t="str">
        <f>IF('Teams &amp; HM'!A124="","",'Teams &amp; HM'!A124)</f>
        <v/>
      </c>
      <c r="D78" s="72" t="str">
        <f>IF('Teams &amp; HM'!B124="","",'Teams &amp; HM'!B124)</f>
        <v/>
      </c>
      <c r="F78" s="7"/>
      <c r="G78" s="7"/>
      <c r="H78" s="14"/>
      <c r="I78" s="7"/>
      <c r="J78" s="7"/>
      <c r="K78" s="74" t="str">
        <f t="shared" si="1"/>
        <v/>
      </c>
      <c r="L78" s="108" t="str">
        <f>IF(K78="","",IF(COUNT(K78:K81)=4,(SUM(K78:K81)-MIN(K78:K81)),SUM(K78:K80)))</f>
        <v/>
      </c>
    </row>
    <row r="79" spans="1:12" x14ac:dyDescent="0.25">
      <c r="A79" s="72" t="str">
        <f>IF('Teams &amp; HM'!A122="","",'Teams &amp; HM'!A122)</f>
        <v/>
      </c>
      <c r="B79" s="72" t="str">
        <f>IF('Teams &amp; HM'!H125="","",'Teams &amp; HM'!H125)</f>
        <v/>
      </c>
      <c r="C79" s="72" t="str">
        <f>IF('Teams &amp; HM'!A125="","",'Teams &amp; HM'!A125)</f>
        <v/>
      </c>
      <c r="D79" s="72" t="str">
        <f>IF('Teams &amp; HM'!B125="","",'Teams &amp; HM'!B125)</f>
        <v/>
      </c>
      <c r="F79" s="7"/>
      <c r="G79" s="7"/>
      <c r="H79" s="14"/>
      <c r="I79" s="7"/>
      <c r="J79" s="7"/>
      <c r="K79" s="74" t="str">
        <f t="shared" si="1"/>
        <v/>
      </c>
      <c r="L79" s="109"/>
    </row>
    <row r="80" spans="1:12" x14ac:dyDescent="0.25">
      <c r="A80" s="72" t="str">
        <f>IF('Teams &amp; HM'!A122="","",'Teams &amp; HM'!A122)</f>
        <v/>
      </c>
      <c r="B80" s="72" t="str">
        <f>IF('Teams &amp; HM'!H126="","",'Teams &amp; HM'!H126)</f>
        <v/>
      </c>
      <c r="C80" s="72" t="str">
        <f>IF('Teams &amp; HM'!A126="","",'Teams &amp; HM'!A126)</f>
        <v/>
      </c>
      <c r="D80" s="72" t="str">
        <f>IF('Teams &amp; HM'!B126="","",'Teams &amp; HM'!B126)</f>
        <v/>
      </c>
      <c r="F80" s="7"/>
      <c r="G80" s="7"/>
      <c r="H80" s="14"/>
      <c r="I80" s="7"/>
      <c r="J80" s="7"/>
      <c r="K80" s="74" t="str">
        <f t="shared" si="1"/>
        <v/>
      </c>
      <c r="L80" s="109"/>
    </row>
    <row r="81" spans="1:12" x14ac:dyDescent="0.25">
      <c r="A81" s="72" t="str">
        <f>IF('Teams &amp; HM'!A122="","",'Teams &amp; HM'!A122)</f>
        <v/>
      </c>
      <c r="B81" s="72" t="str">
        <f>IF('Teams &amp; HM'!H127="","",'Teams &amp; HM'!H127)</f>
        <v/>
      </c>
      <c r="C81" s="72" t="str">
        <f>IF('Teams &amp; HM'!A127="","",'Teams &amp; HM'!A127)</f>
        <v/>
      </c>
      <c r="D81" s="72" t="str">
        <f>IF('Teams &amp; HM'!B127="","",'Teams &amp; HM'!B127)</f>
        <v/>
      </c>
      <c r="F81" s="7"/>
      <c r="G81" s="7"/>
      <c r="H81" s="14"/>
      <c r="I81" s="7"/>
      <c r="J81" s="7"/>
      <c r="K81" s="74" t="str">
        <f t="shared" si="1"/>
        <v/>
      </c>
      <c r="L81" s="110"/>
    </row>
    <row r="82" spans="1:12" hidden="1" x14ac:dyDescent="0.25">
      <c r="A82" s="72" t="str">
        <f>IF('Teams &amp; HM'!A122="","",'Teams &amp; HM'!A122)</f>
        <v/>
      </c>
      <c r="B82" s="72" t="str">
        <f>IF('Teams &amp; HM'!H128="","",'Teams &amp; HM'!H128)</f>
        <v/>
      </c>
      <c r="C82" s="72" t="str">
        <f>IF('Teams &amp; HM'!A128="","",'Teams &amp; HM'!A128)</f>
        <v/>
      </c>
      <c r="D82" s="72" t="str">
        <f>IF('Teams &amp; HM'!B128="","",'Teams &amp; HM'!B128)</f>
        <v/>
      </c>
      <c r="F82" s="7"/>
      <c r="G82" s="7"/>
      <c r="H82" s="14"/>
      <c r="I82" s="7"/>
      <c r="J82" s="7"/>
      <c r="K82" s="74" t="str">
        <f t="shared" si="1"/>
        <v/>
      </c>
      <c r="L82" s="75"/>
    </row>
    <row r="83" spans="1:12" x14ac:dyDescent="0.25">
      <c r="A83" s="72" t="str">
        <f>IF('Teams &amp; HM'!A130="","",'Teams &amp; HM'!A130)</f>
        <v/>
      </c>
      <c r="B83" s="72" t="str">
        <f>IF('Teams &amp; HM'!H132="","",'Teams &amp; HM'!H132)</f>
        <v/>
      </c>
      <c r="C83" s="72" t="str">
        <f>IF('Teams &amp; HM'!A132="","",'Teams &amp; HM'!A132)</f>
        <v/>
      </c>
      <c r="D83" s="72" t="str">
        <f>IF('Teams &amp; HM'!B132="","",'Teams &amp; HM'!B132)</f>
        <v/>
      </c>
      <c r="F83" s="7"/>
      <c r="G83" s="7"/>
      <c r="H83" s="14"/>
      <c r="I83" s="7"/>
      <c r="J83" s="7"/>
      <c r="K83" s="74" t="str">
        <f t="shared" ref="K83:K102" si="2">IF(I83="","",I83-J83)</f>
        <v/>
      </c>
      <c r="L83" s="108" t="str">
        <f>IF(K83="","",IF(COUNT(K83:K86)=4,(SUM(K83:K86)-MIN(K83:K86)),SUM(K83:K85)))</f>
        <v/>
      </c>
    </row>
    <row r="84" spans="1:12" x14ac:dyDescent="0.25">
      <c r="A84" s="72" t="str">
        <f>IF('Teams &amp; HM'!A130="","",'Teams &amp; HM'!A130)</f>
        <v/>
      </c>
      <c r="B84" s="72" t="str">
        <f>IF('Teams &amp; HM'!H133="","",'Teams &amp; HM'!H133)</f>
        <v/>
      </c>
      <c r="C84" s="72" t="str">
        <f>IF('Teams &amp; HM'!A133="","",'Teams &amp; HM'!A133)</f>
        <v/>
      </c>
      <c r="D84" s="72" t="str">
        <f>IF('Teams &amp; HM'!B133="","",'Teams &amp; HM'!B133)</f>
        <v/>
      </c>
      <c r="F84" s="7"/>
      <c r="G84" s="7"/>
      <c r="H84" s="14"/>
      <c r="I84" s="7"/>
      <c r="J84" s="7"/>
      <c r="K84" s="74" t="str">
        <f t="shared" si="2"/>
        <v/>
      </c>
      <c r="L84" s="109"/>
    </row>
    <row r="85" spans="1:12" x14ac:dyDescent="0.25">
      <c r="A85" s="72" t="str">
        <f>IF('Teams &amp; HM'!A130="","",'Teams &amp; HM'!A130)</f>
        <v/>
      </c>
      <c r="B85" s="72" t="str">
        <f>IF('Teams &amp; HM'!H134="","",'Teams &amp; HM'!H134)</f>
        <v/>
      </c>
      <c r="C85" s="72" t="str">
        <f>IF('Teams &amp; HM'!A134="","",'Teams &amp; HM'!A134)</f>
        <v/>
      </c>
      <c r="D85" s="72" t="str">
        <f>IF('Teams &amp; HM'!B134="","",'Teams &amp; HM'!B134)</f>
        <v/>
      </c>
      <c r="F85" s="7"/>
      <c r="G85" s="7"/>
      <c r="H85" s="14"/>
      <c r="I85" s="7"/>
      <c r="J85" s="7"/>
      <c r="K85" s="74" t="str">
        <f t="shared" si="2"/>
        <v/>
      </c>
      <c r="L85" s="109"/>
    </row>
    <row r="86" spans="1:12" x14ac:dyDescent="0.25">
      <c r="A86" s="72" t="str">
        <f>IF('Teams &amp; HM'!A130="","",'Teams &amp; HM'!A130)</f>
        <v/>
      </c>
      <c r="B86" s="72" t="str">
        <f>IF('Teams &amp; HM'!H135="","",'Teams &amp; HM'!H135)</f>
        <v/>
      </c>
      <c r="C86" s="72" t="str">
        <f>IF('Teams &amp; HM'!A135="","",'Teams &amp; HM'!A135)</f>
        <v/>
      </c>
      <c r="D86" s="72" t="str">
        <f>IF('Teams &amp; HM'!B135="","",'Teams &amp; HM'!B135)</f>
        <v/>
      </c>
      <c r="F86" s="7"/>
      <c r="G86" s="7"/>
      <c r="H86" s="14"/>
      <c r="I86" s="7"/>
      <c r="J86" s="7"/>
      <c r="K86" s="74" t="str">
        <f t="shared" si="2"/>
        <v/>
      </c>
      <c r="L86" s="110"/>
    </row>
    <row r="87" spans="1:12" hidden="1" x14ac:dyDescent="0.25">
      <c r="A87" s="72" t="str">
        <f>IF('Teams &amp; HM'!A130="","",'Teams &amp; HM'!A130)</f>
        <v/>
      </c>
      <c r="B87" s="72" t="str">
        <f>IF('Teams &amp; HM'!H136="","",'Teams &amp; HM'!H136)</f>
        <v/>
      </c>
      <c r="C87" s="72" t="str">
        <f>IF('Teams &amp; HM'!A136="","",'Teams &amp; HM'!A136)</f>
        <v/>
      </c>
      <c r="D87" s="72" t="str">
        <f>IF('Teams &amp; HM'!B136="","",'Teams &amp; HM'!B136)</f>
        <v/>
      </c>
      <c r="F87" s="7"/>
      <c r="G87" s="7"/>
      <c r="H87" s="14"/>
      <c r="I87" s="7"/>
      <c r="J87" s="7"/>
      <c r="K87" s="74" t="str">
        <f t="shared" si="2"/>
        <v/>
      </c>
      <c r="L87" s="75"/>
    </row>
    <row r="88" spans="1:12" x14ac:dyDescent="0.25">
      <c r="A88" s="72" t="str">
        <f>IF('Teams &amp; HM'!A138="","",'Teams &amp; HM'!A138)</f>
        <v/>
      </c>
      <c r="B88" s="72" t="str">
        <f>IF('Teams &amp; HM'!H140="","",'Teams &amp; HM'!H140)</f>
        <v/>
      </c>
      <c r="C88" s="72" t="str">
        <f>IF('Teams &amp; HM'!A140="","",'Teams &amp; HM'!A140)</f>
        <v/>
      </c>
      <c r="D88" s="72" t="str">
        <f>IF('Teams &amp; HM'!B140="","",'Teams &amp; HM'!B140)</f>
        <v/>
      </c>
      <c r="F88" s="7"/>
      <c r="G88" s="7"/>
      <c r="H88" s="14"/>
      <c r="I88" s="7"/>
      <c r="J88" s="7"/>
      <c r="K88" s="74" t="str">
        <f t="shared" si="2"/>
        <v/>
      </c>
      <c r="L88" s="108" t="str">
        <f>IF(K88="","",IF(COUNT(K88:K91)=4,(SUM(K88:K91)-MIN(K88:K91)),SUM(K88:K90)))</f>
        <v/>
      </c>
    </row>
    <row r="89" spans="1:12" x14ac:dyDescent="0.25">
      <c r="A89" s="72" t="str">
        <f>IF('Teams &amp; HM'!A138="","",'Teams &amp; HM'!A138)</f>
        <v/>
      </c>
      <c r="B89" s="72" t="str">
        <f>IF('Teams &amp; HM'!H141="","",'Teams &amp; HM'!H141)</f>
        <v/>
      </c>
      <c r="C89" s="72" t="str">
        <f>IF('Teams &amp; HM'!A141="","",'Teams &amp; HM'!A141)</f>
        <v/>
      </c>
      <c r="D89" s="72" t="str">
        <f>IF('Teams &amp; HM'!B141="","",'Teams &amp; HM'!B141)</f>
        <v/>
      </c>
      <c r="F89" s="7"/>
      <c r="G89" s="7"/>
      <c r="H89" s="14"/>
      <c r="I89" s="7"/>
      <c r="J89" s="7"/>
      <c r="K89" s="74" t="str">
        <f t="shared" si="2"/>
        <v/>
      </c>
      <c r="L89" s="109"/>
    </row>
    <row r="90" spans="1:12" x14ac:dyDescent="0.25">
      <c r="A90" s="72" t="str">
        <f>IF('Teams &amp; HM'!A138="","",'Teams &amp; HM'!A138)</f>
        <v/>
      </c>
      <c r="B90" s="72" t="str">
        <f>IF('Teams &amp; HM'!H142="","",'Teams &amp; HM'!H142)</f>
        <v/>
      </c>
      <c r="C90" s="72" t="str">
        <f>IF('Teams &amp; HM'!A142="","",'Teams &amp; HM'!A142)</f>
        <v/>
      </c>
      <c r="D90" s="72" t="str">
        <f>IF('Teams &amp; HM'!B142="","",'Teams &amp; HM'!B142)</f>
        <v/>
      </c>
      <c r="F90" s="7"/>
      <c r="G90" s="7"/>
      <c r="H90" s="14"/>
      <c r="I90" s="7"/>
      <c r="J90" s="7"/>
      <c r="K90" s="74" t="str">
        <f t="shared" si="2"/>
        <v/>
      </c>
      <c r="L90" s="109"/>
    </row>
    <row r="91" spans="1:12" x14ac:dyDescent="0.25">
      <c r="A91" s="72" t="str">
        <f>IF('Teams &amp; HM'!A138="","",'Teams &amp; HM'!A138)</f>
        <v/>
      </c>
      <c r="B91" s="72" t="str">
        <f>IF('Teams &amp; HM'!H143="","",'Teams &amp; HM'!H143)</f>
        <v/>
      </c>
      <c r="C91" s="72" t="str">
        <f>IF('Teams &amp; HM'!A143="","",'Teams &amp; HM'!A143)</f>
        <v/>
      </c>
      <c r="D91" s="72" t="str">
        <f>IF('Teams &amp; HM'!B143="","",'Teams &amp; HM'!B143)</f>
        <v/>
      </c>
      <c r="F91" s="7"/>
      <c r="G91" s="7"/>
      <c r="H91" s="14"/>
      <c r="I91" s="7"/>
      <c r="J91" s="7"/>
      <c r="K91" s="74" t="str">
        <f t="shared" si="2"/>
        <v/>
      </c>
      <c r="L91" s="110"/>
    </row>
    <row r="92" spans="1:12" hidden="1" x14ac:dyDescent="0.25">
      <c r="A92" s="72" t="str">
        <f>IF('Teams &amp; HM'!A138="","",'Teams &amp; HM'!A138)</f>
        <v/>
      </c>
      <c r="B92" s="72" t="str">
        <f>IF('Teams &amp; HM'!H144="","",'Teams &amp; HM'!H144)</f>
        <v/>
      </c>
      <c r="C92" s="72" t="str">
        <f>IF('Teams &amp; HM'!A144="","",'Teams &amp; HM'!A144)</f>
        <v/>
      </c>
      <c r="D92" s="72" t="str">
        <f>IF('Teams &amp; HM'!B144="","",'Teams &amp; HM'!B144)</f>
        <v/>
      </c>
      <c r="F92" s="7"/>
      <c r="G92" s="7"/>
      <c r="H92" s="14"/>
      <c r="I92" s="7"/>
      <c r="J92" s="7"/>
      <c r="K92" s="74" t="str">
        <f t="shared" si="2"/>
        <v/>
      </c>
      <c r="L92" s="75"/>
    </row>
    <row r="93" spans="1:12" x14ac:dyDescent="0.25">
      <c r="A93" s="72" t="str">
        <f>IF('Teams &amp; HM'!A146="","",'Teams &amp; HM'!A146)</f>
        <v/>
      </c>
      <c r="B93" s="72" t="str">
        <f>IF('Teams &amp; HM'!H148="","",'Teams &amp; HM'!H148)</f>
        <v/>
      </c>
      <c r="C93" s="72" t="str">
        <f>IF('Teams &amp; HM'!A148="","",'Teams &amp; HM'!A148)</f>
        <v/>
      </c>
      <c r="D93" s="72" t="str">
        <f>IF('Teams &amp; HM'!B148="","",'Teams &amp; HM'!B148)</f>
        <v/>
      </c>
      <c r="F93" s="7"/>
      <c r="G93" s="7"/>
      <c r="H93" s="14"/>
      <c r="I93" s="7"/>
      <c r="J93" s="7"/>
      <c r="K93" s="74" t="str">
        <f t="shared" si="2"/>
        <v/>
      </c>
      <c r="L93" s="108" t="str">
        <f>IF(K93="","",IF(COUNT(K93:K96)=4,(SUM(K93:K96)-MIN(K93:K96)),SUM(K93:K95)))</f>
        <v/>
      </c>
    </row>
    <row r="94" spans="1:12" x14ac:dyDescent="0.25">
      <c r="A94" s="72" t="str">
        <f>IF('Teams &amp; HM'!A146="","",'Teams &amp; HM'!A146)</f>
        <v/>
      </c>
      <c r="B94" s="72" t="str">
        <f>IF('Teams &amp; HM'!H149="","",'Teams &amp; HM'!H149)</f>
        <v/>
      </c>
      <c r="C94" s="72" t="str">
        <f>IF('Teams &amp; HM'!A149="","",'Teams &amp; HM'!A149)</f>
        <v/>
      </c>
      <c r="D94" s="72" t="str">
        <f>IF('Teams &amp; HM'!B149="","",'Teams &amp; HM'!B149)</f>
        <v/>
      </c>
      <c r="F94" s="7"/>
      <c r="G94" s="7"/>
      <c r="H94" s="14"/>
      <c r="I94" s="7"/>
      <c r="J94" s="7"/>
      <c r="K94" s="74" t="str">
        <f t="shared" si="2"/>
        <v/>
      </c>
      <c r="L94" s="109"/>
    </row>
    <row r="95" spans="1:12" x14ac:dyDescent="0.25">
      <c r="A95" s="72" t="str">
        <f>IF('Teams &amp; HM'!A146="","",'Teams &amp; HM'!A146)</f>
        <v/>
      </c>
      <c r="B95" s="72" t="str">
        <f>IF('Teams &amp; HM'!H150="","",'Teams &amp; HM'!H150)</f>
        <v/>
      </c>
      <c r="C95" s="72" t="str">
        <f>IF('Teams &amp; HM'!A150="","",'Teams &amp; HM'!A150)</f>
        <v/>
      </c>
      <c r="D95" s="72" t="str">
        <f>IF('Teams &amp; HM'!B150="","",'Teams &amp; HM'!B150)</f>
        <v/>
      </c>
      <c r="F95" s="7"/>
      <c r="G95" s="7"/>
      <c r="H95" s="14"/>
      <c r="I95" s="7"/>
      <c r="J95" s="7"/>
      <c r="K95" s="74" t="str">
        <f t="shared" si="2"/>
        <v/>
      </c>
      <c r="L95" s="109"/>
    </row>
    <row r="96" spans="1:12" x14ac:dyDescent="0.25">
      <c r="A96" s="72" t="str">
        <f>IF('Teams &amp; HM'!A146="","",'Teams &amp; HM'!A146)</f>
        <v/>
      </c>
      <c r="B96" s="72" t="str">
        <f>IF('Teams &amp; HM'!H151="","",'Teams &amp; HM'!H151)</f>
        <v/>
      </c>
      <c r="C96" s="72" t="str">
        <f>IF('Teams &amp; HM'!A151="","",'Teams &amp; HM'!A151)</f>
        <v/>
      </c>
      <c r="D96" s="72" t="str">
        <f>IF('Teams &amp; HM'!B151="","",'Teams &amp; HM'!B151)</f>
        <v/>
      </c>
      <c r="F96" s="7"/>
      <c r="G96" s="7"/>
      <c r="H96" s="14"/>
      <c r="I96" s="7"/>
      <c r="J96" s="7"/>
      <c r="K96" s="74" t="str">
        <f t="shared" si="2"/>
        <v/>
      </c>
      <c r="L96" s="110"/>
    </row>
    <row r="97" spans="1:12" hidden="1" x14ac:dyDescent="0.25">
      <c r="A97" s="72" t="str">
        <f>IF('Teams &amp; HM'!A146="","",'Teams &amp; HM'!A146)</f>
        <v/>
      </c>
      <c r="B97" s="72" t="str">
        <f>IF('Teams &amp; HM'!H152="","",'Teams &amp; HM'!H152)</f>
        <v/>
      </c>
      <c r="C97" s="72" t="str">
        <f>IF('Teams &amp; HM'!A152="","",'Teams &amp; HM'!A152)</f>
        <v/>
      </c>
      <c r="D97" s="72" t="str">
        <f>IF('Teams &amp; HM'!B152="","",'Teams &amp; HM'!B152)</f>
        <v/>
      </c>
      <c r="F97" s="7"/>
      <c r="G97" s="7"/>
      <c r="H97" s="14"/>
      <c r="I97" s="7"/>
      <c r="J97" s="7"/>
      <c r="K97" s="74" t="str">
        <f t="shared" si="2"/>
        <v/>
      </c>
      <c r="L97" s="75"/>
    </row>
    <row r="98" spans="1:12" x14ac:dyDescent="0.25">
      <c r="A98" s="72" t="str">
        <f>IF('Teams &amp; HM'!A154="","",'Teams &amp; HM'!A154)</f>
        <v/>
      </c>
      <c r="B98" s="72" t="str">
        <f>IF('Teams &amp; HM'!H156="","",'Teams &amp; HM'!H156)</f>
        <v/>
      </c>
      <c r="C98" s="72" t="str">
        <f>IF('Teams &amp; HM'!A156="","",'Teams &amp; HM'!A156)</f>
        <v/>
      </c>
      <c r="D98" s="72" t="str">
        <f>IF('Teams &amp; HM'!B156="","",'Teams &amp; HM'!B156)</f>
        <v/>
      </c>
      <c r="F98" s="7"/>
      <c r="G98" s="7"/>
      <c r="H98" s="14"/>
      <c r="I98" s="7"/>
      <c r="J98" s="7"/>
      <c r="K98" s="74" t="str">
        <f t="shared" si="2"/>
        <v/>
      </c>
      <c r="L98" s="108" t="str">
        <f>IF(K98="","",IF(COUNT(K98:K101)=4,(SUM(K98:K101)-MIN(K98:K101)),SUM(K98:K100)))</f>
        <v/>
      </c>
    </row>
    <row r="99" spans="1:12" x14ac:dyDescent="0.25">
      <c r="A99" s="72" t="str">
        <f>IF('Teams &amp; HM'!A154="","",'Teams &amp; HM'!A154)</f>
        <v/>
      </c>
      <c r="B99" s="72" t="str">
        <f>IF('Teams &amp; HM'!H157="","",'Teams &amp; HM'!H157)</f>
        <v/>
      </c>
      <c r="C99" s="72" t="str">
        <f>IF('Teams &amp; HM'!A157="","",'Teams &amp; HM'!A157)</f>
        <v/>
      </c>
      <c r="D99" s="72" t="str">
        <f>IF('Teams &amp; HM'!B157="","",'Teams &amp; HM'!B157)</f>
        <v/>
      </c>
      <c r="F99" s="7"/>
      <c r="G99" s="7"/>
      <c r="H99" s="14"/>
      <c r="I99" s="7"/>
      <c r="J99" s="7"/>
      <c r="K99" s="74" t="str">
        <f t="shared" si="2"/>
        <v/>
      </c>
      <c r="L99" s="109"/>
    </row>
    <row r="100" spans="1:12" x14ac:dyDescent="0.25">
      <c r="A100" s="72" t="str">
        <f>IF('Teams &amp; HM'!A154="","",'Teams &amp; HM'!A154)</f>
        <v/>
      </c>
      <c r="B100" s="72" t="str">
        <f>IF('Teams &amp; HM'!H158="","",'Teams &amp; HM'!H158)</f>
        <v/>
      </c>
      <c r="C100" s="72" t="str">
        <f>IF('Teams &amp; HM'!A158="","",'Teams &amp; HM'!A158)</f>
        <v/>
      </c>
      <c r="D100" s="72" t="str">
        <f>IF('Teams &amp; HM'!B158="","",'Teams &amp; HM'!B158)</f>
        <v/>
      </c>
      <c r="F100" s="7"/>
      <c r="G100" s="7"/>
      <c r="H100" s="14"/>
      <c r="I100" s="7"/>
      <c r="J100" s="7"/>
      <c r="K100" s="74" t="str">
        <f t="shared" si="2"/>
        <v/>
      </c>
      <c r="L100" s="109"/>
    </row>
    <row r="101" spans="1:12" x14ac:dyDescent="0.25">
      <c r="A101" s="72" t="str">
        <f>IF('Teams &amp; HM'!A154="","",'Teams &amp; HM'!A154)</f>
        <v/>
      </c>
      <c r="B101" s="72" t="str">
        <f>IF('Teams &amp; HM'!H159="","",'Teams &amp; HM'!H159)</f>
        <v/>
      </c>
      <c r="C101" s="72" t="str">
        <f>IF('Teams &amp; HM'!A159="","",'Teams &amp; HM'!A159)</f>
        <v/>
      </c>
      <c r="D101" s="72" t="str">
        <f>IF('Teams &amp; HM'!B159="","",'Teams &amp; HM'!B159)</f>
        <v/>
      </c>
      <c r="F101" s="7"/>
      <c r="G101" s="7"/>
      <c r="H101" s="14"/>
      <c r="I101" s="7"/>
      <c r="J101" s="7"/>
      <c r="K101" s="74" t="str">
        <f t="shared" si="2"/>
        <v/>
      </c>
      <c r="L101" s="110"/>
    </row>
    <row r="102" spans="1:12" hidden="1" x14ac:dyDescent="0.25">
      <c r="A102" s="51" t="str">
        <f>IF('Teams &amp; HM'!A154="","",'Teams &amp; HM'!A154)</f>
        <v/>
      </c>
      <c r="B102" s="51" t="str">
        <f>IF('Teams &amp; HM'!H160="","",'Teams &amp; HM'!H160)</f>
        <v/>
      </c>
      <c r="C102" s="51" t="str">
        <f>IF('Teams &amp; HM'!A160="","",'Teams &amp; HM'!A160)</f>
        <v/>
      </c>
      <c r="D102" s="51" t="str">
        <f>IF('Teams &amp; HM'!B160="","",'Teams &amp; HM'!B160)</f>
        <v/>
      </c>
      <c r="F102" s="7"/>
      <c r="G102" s="7"/>
      <c r="H102" s="14"/>
      <c r="I102" s="7"/>
      <c r="J102" s="32"/>
      <c r="K102" s="39" t="str">
        <f t="shared" si="2"/>
        <v/>
      </c>
    </row>
  </sheetData>
  <sheetProtection algorithmName="SHA-512" hashValue="MFFWm+7HyzRR4+8+IPrZ+XnYDmjdH0JQ288HFczkJ3qeW2PBnYllgf3FsL6VOgZ11gEKcnHdFKgfR1qUajzITg==" saltValue="1zYaOBYMyGf6V02AvWrgwQ==" spinCount="100000" sheet="1" objects="1" scenarios="1"/>
  <mergeCells count="22">
    <mergeCell ref="A1:D1"/>
    <mergeCell ref="F1:L1"/>
    <mergeCell ref="L3:L6"/>
    <mergeCell ref="L8:L11"/>
    <mergeCell ref="L13:L16"/>
    <mergeCell ref="L18:L21"/>
    <mergeCell ref="L23:L26"/>
    <mergeCell ref="L28:L31"/>
    <mergeCell ref="L33:L36"/>
    <mergeCell ref="L38:L41"/>
    <mergeCell ref="L43:L46"/>
    <mergeCell ref="L48:L51"/>
    <mergeCell ref="L53:L56"/>
    <mergeCell ref="L58:L61"/>
    <mergeCell ref="L88:L91"/>
    <mergeCell ref="L93:L96"/>
    <mergeCell ref="L98:L101"/>
    <mergeCell ref="L63:L66"/>
    <mergeCell ref="L68:L71"/>
    <mergeCell ref="L73:L76"/>
    <mergeCell ref="L78:L81"/>
    <mergeCell ref="L83:L8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'Instructions &amp; Reference'!$K$201:$K$202</xm:f>
          </x14:formula1>
          <xm:sqref>F3:F102</xm:sqref>
        </x14:dataValidation>
        <x14:dataValidation type="list" allowBlank="1" showInputMessage="1" showErrorMessage="1" xr:uid="{00000000-0002-0000-0500-000001000000}">
          <x14:formula1>
            <xm:f>'Instructions &amp; Reference'!$C$6:$C$17</xm:f>
          </x14:formula1>
          <xm:sqref>G3:G102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U164"/>
  <sheetViews>
    <sheetView topLeftCell="AA1" zoomScaleNormal="100" workbookViewId="0">
      <pane ySplit="2" topLeftCell="A3" activePane="bottomLeft" state="frozen"/>
      <selection pane="bottomLeft" activeCell="AK22" sqref="AK22"/>
    </sheetView>
  </sheetViews>
  <sheetFormatPr defaultRowHeight="15" x14ac:dyDescent="0.25"/>
  <cols>
    <col min="1" max="1" width="9" style="35" hidden="1" customWidth="1"/>
    <col min="2" max="2" width="10" style="35" hidden="1" customWidth="1"/>
    <col min="3" max="3" width="6.28515625" style="34" hidden="1" customWidth="1"/>
    <col min="4" max="4" width="9.85546875" style="34" hidden="1" customWidth="1"/>
    <col min="5" max="6" width="9.140625" style="35" hidden="1" customWidth="1"/>
    <col min="7" max="8" width="9.140625" style="34" hidden="1" customWidth="1"/>
    <col min="9" max="10" width="9.140625" style="35" hidden="1" customWidth="1"/>
    <col min="11" max="12" width="9.140625" style="34" hidden="1" customWidth="1"/>
    <col min="13" max="13" width="11.42578125" style="35" hidden="1" customWidth="1"/>
    <col min="14" max="14" width="9.140625" style="35" hidden="1" customWidth="1"/>
    <col min="15" max="16" width="9.140625" style="34" hidden="1" customWidth="1"/>
    <col min="17" max="18" width="9.140625" style="35" hidden="1" customWidth="1"/>
    <col min="19" max="20" width="9.140625" style="34" hidden="1" customWidth="1"/>
    <col min="21" max="22" width="9.140625" style="35" hidden="1" customWidth="1"/>
    <col min="23" max="23" width="9.140625" style="34" hidden="1" customWidth="1"/>
    <col min="24" max="24" width="9.140625" style="36" hidden="1" customWidth="1"/>
    <col min="25" max="25" width="3.5703125" style="1" customWidth="1"/>
    <col min="26" max="26" width="9.140625" style="33"/>
    <col min="27" max="27" width="20" style="33" bestFit="1" customWidth="1"/>
    <col min="28" max="28" width="4.85546875" style="33" customWidth="1"/>
    <col min="29" max="29" width="20.85546875" style="33" customWidth="1"/>
    <col min="30" max="30" width="2.5703125" style="33" customWidth="1"/>
    <col min="31" max="31" width="8.7109375" style="33" customWidth="1"/>
    <col min="32" max="32" width="8.28515625" style="33" bestFit="1" customWidth="1"/>
    <col min="33" max="33" width="9.140625" style="33"/>
    <col min="34" max="34" width="10.28515625" style="33" bestFit="1" customWidth="1"/>
    <col min="35" max="35" width="16.42578125" style="33" bestFit="1" customWidth="1"/>
    <col min="36" max="36" width="2.5703125" style="1" customWidth="1"/>
    <col min="37" max="38" width="16.42578125" style="33" customWidth="1"/>
    <col min="39" max="39" width="2.5703125" style="1" customWidth="1"/>
    <col min="40" max="40" width="9.140625" style="1"/>
    <col min="41" max="41" width="13.28515625" style="1" bestFit="1" customWidth="1"/>
    <col min="42" max="42" width="13.28515625" style="61" customWidth="1"/>
    <col min="43" max="43" width="2.85546875" style="1" customWidth="1"/>
    <col min="44" max="44" width="10.5703125" style="1" customWidth="1"/>
    <col min="45" max="45" width="2.7109375" style="1" customWidth="1"/>
    <col min="46" max="46" width="11.42578125" style="1" bestFit="1" customWidth="1"/>
    <col min="47" max="47" width="10.7109375" style="1" bestFit="1" customWidth="1"/>
    <col min="48" max="16384" width="9.140625" style="1"/>
  </cols>
  <sheetData>
    <row r="1" spans="1:47" ht="25.5" customHeight="1" x14ac:dyDescent="0.25">
      <c r="A1" s="18" t="s">
        <v>107</v>
      </c>
      <c r="B1" s="19" t="s">
        <v>108</v>
      </c>
      <c r="C1" s="20" t="s">
        <v>108</v>
      </c>
      <c r="D1" s="19" t="s">
        <v>109</v>
      </c>
      <c r="E1" s="18" t="s">
        <v>110</v>
      </c>
      <c r="F1" s="19" t="s">
        <v>110</v>
      </c>
      <c r="G1" s="20" t="s">
        <v>111</v>
      </c>
      <c r="H1" s="19" t="s">
        <v>111</v>
      </c>
      <c r="I1" s="18" t="s">
        <v>110</v>
      </c>
      <c r="J1" s="19" t="s">
        <v>110</v>
      </c>
      <c r="K1" s="20" t="s">
        <v>111</v>
      </c>
      <c r="L1" s="19" t="s">
        <v>111</v>
      </c>
      <c r="M1" s="18" t="s">
        <v>110</v>
      </c>
      <c r="N1" s="19" t="s">
        <v>110</v>
      </c>
      <c r="O1" s="20" t="s">
        <v>111</v>
      </c>
      <c r="P1" s="19" t="s">
        <v>111</v>
      </c>
      <c r="Q1" s="18" t="s">
        <v>110</v>
      </c>
      <c r="R1" s="19" t="s">
        <v>110</v>
      </c>
      <c r="S1" s="20" t="s">
        <v>111</v>
      </c>
      <c r="T1" s="19" t="s">
        <v>111</v>
      </c>
      <c r="U1" s="18" t="s">
        <v>110</v>
      </c>
      <c r="V1" s="19" t="s">
        <v>110</v>
      </c>
      <c r="W1" s="20" t="s">
        <v>111</v>
      </c>
      <c r="X1" s="21" t="s">
        <v>111</v>
      </c>
      <c r="Y1" s="22"/>
      <c r="Z1" s="112" t="str">
        <f>IF('Teams &amp; HM'!A1="","",'Teams &amp; HM'!A1)</f>
        <v/>
      </c>
      <c r="AA1" s="113"/>
      <c r="AB1" s="113"/>
      <c r="AC1" s="114"/>
      <c r="AD1" s="23"/>
      <c r="AE1" s="111" t="s">
        <v>112</v>
      </c>
      <c r="AF1" s="111"/>
      <c r="AG1" s="111"/>
      <c r="AH1" s="111"/>
      <c r="AI1" s="111"/>
      <c r="AK1" s="24" t="s">
        <v>113</v>
      </c>
      <c r="AL1" s="56" t="s">
        <v>114</v>
      </c>
      <c r="AN1" s="117" t="s">
        <v>115</v>
      </c>
      <c r="AO1" s="118"/>
      <c r="AP1" s="119"/>
      <c r="AR1" s="115" t="s">
        <v>116</v>
      </c>
      <c r="AS1"/>
      <c r="AT1" s="24" t="s">
        <v>117</v>
      </c>
      <c r="AU1" s="24" t="s">
        <v>118</v>
      </c>
    </row>
    <row r="2" spans="1:47" x14ac:dyDescent="0.25">
      <c r="A2" s="18" t="s">
        <v>119</v>
      </c>
      <c r="B2" s="18" t="s">
        <v>120</v>
      </c>
      <c r="C2" s="20" t="s">
        <v>121</v>
      </c>
      <c r="D2" s="20" t="s">
        <v>122</v>
      </c>
      <c r="E2" s="18" t="s">
        <v>123</v>
      </c>
      <c r="F2" s="18" t="s">
        <v>123</v>
      </c>
      <c r="G2" s="18" t="s">
        <v>123</v>
      </c>
      <c r="H2" s="18" t="s">
        <v>123</v>
      </c>
      <c r="I2" s="18" t="s">
        <v>124</v>
      </c>
      <c r="J2" s="18" t="s">
        <v>124</v>
      </c>
      <c r="K2" s="18" t="s">
        <v>124</v>
      </c>
      <c r="L2" s="18" t="s">
        <v>124</v>
      </c>
      <c r="M2" s="18" t="s">
        <v>125</v>
      </c>
      <c r="N2" s="18" t="s">
        <v>125</v>
      </c>
      <c r="O2" s="18" t="s">
        <v>125</v>
      </c>
      <c r="P2" s="18" t="s">
        <v>125</v>
      </c>
      <c r="Q2" s="18" t="s">
        <v>126</v>
      </c>
      <c r="R2" s="18" t="s">
        <v>126</v>
      </c>
      <c r="S2" s="18" t="s">
        <v>126</v>
      </c>
      <c r="T2" s="18" t="s">
        <v>126</v>
      </c>
      <c r="U2" s="18" t="s">
        <v>127</v>
      </c>
      <c r="V2" s="18" t="s">
        <v>127</v>
      </c>
      <c r="W2" s="18" t="s">
        <v>127</v>
      </c>
      <c r="X2" s="25" t="s">
        <v>127</v>
      </c>
      <c r="Y2" s="22"/>
      <c r="Z2" s="69" t="s">
        <v>80</v>
      </c>
      <c r="AA2" s="69" t="s">
        <v>128</v>
      </c>
      <c r="AB2" s="69" t="s">
        <v>55</v>
      </c>
      <c r="AC2" s="69" t="s">
        <v>81</v>
      </c>
      <c r="AD2" s="26"/>
      <c r="AE2" s="69" t="s">
        <v>129</v>
      </c>
      <c r="AF2" s="69" t="s">
        <v>130</v>
      </c>
      <c r="AG2" s="69" t="s">
        <v>98</v>
      </c>
      <c r="AH2" s="69" t="s">
        <v>103</v>
      </c>
      <c r="AI2" s="69" t="s">
        <v>131</v>
      </c>
      <c r="AK2" s="27" t="s">
        <v>132</v>
      </c>
      <c r="AL2" s="57" t="s">
        <v>133</v>
      </c>
      <c r="AN2" s="69" t="s">
        <v>134</v>
      </c>
      <c r="AO2" s="69" t="s">
        <v>135</v>
      </c>
      <c r="AP2" s="60" t="s">
        <v>136</v>
      </c>
      <c r="AR2" s="116"/>
      <c r="AT2" s="27" t="s">
        <v>132</v>
      </c>
      <c r="AU2" s="27" t="s">
        <v>96</v>
      </c>
    </row>
    <row r="3" spans="1:47" x14ac:dyDescent="0.25">
      <c r="A3" s="28" t="str">
        <f>IF(B3="","",RANK(B3,$B$3:$B$82,0))</f>
        <v/>
      </c>
      <c r="B3" s="28" t="str">
        <f>IF(AR3="","",IF(AA3='Instructions &amp; Reference'!$C$6,Scores!AR3,""))</f>
        <v/>
      </c>
      <c r="C3" s="29" t="str">
        <f>IF(D3="","",RANK(D3,$D$3:$D82,0))</f>
        <v/>
      </c>
      <c r="D3" s="29" t="str">
        <f>IF(AR3="","",IF(AA3='Instructions &amp; Reference'!$C$7,Scores!AR3,""))</f>
        <v/>
      </c>
      <c r="E3" s="28" t="str">
        <f>IF(F3="","",RANK(F3,$F$3:$F$82,0))</f>
        <v/>
      </c>
      <c r="F3" s="28" t="str">
        <f>IF(AR3="","",IF(AA3='Instructions &amp; Reference'!$C$8,Scores!AR3,""))</f>
        <v/>
      </c>
      <c r="G3" s="29" t="str">
        <f>IF(H3="","",RANK(H3,$H$3:$H$82,0))</f>
        <v/>
      </c>
      <c r="H3" s="29" t="str">
        <f>IF(AR3="","",IF(AA3='Instructions &amp; Reference'!$C$9,Scores!AR3,""))</f>
        <v/>
      </c>
      <c r="I3" s="28" t="str">
        <f>IF(J3="","",RANK(J3,$J$3:$J$82,0))</f>
        <v/>
      </c>
      <c r="J3" s="28" t="str">
        <f>IF(AR3="","",IF(AA3='Instructions &amp; Reference'!$C$10,Scores!AR3,""))</f>
        <v/>
      </c>
      <c r="K3" s="29" t="str">
        <f>IF(L3="","",RANK(L3,$L$3:$L$82,0))</f>
        <v/>
      </c>
      <c r="L3" s="29" t="str">
        <f>IF(AR3="","",IF(AA3='Instructions &amp; Reference'!$C$11,Scores!AR3,""))</f>
        <v/>
      </c>
      <c r="M3" s="28" t="str">
        <f>IF(N3="","",RANK(N3,$N$3:$N$82,0))</f>
        <v/>
      </c>
      <c r="N3" s="28" t="str">
        <f>IF(AR3="","",IF(AA3='Instructions &amp; Reference'!$C$12,Scores!AR3,""))</f>
        <v/>
      </c>
      <c r="O3" s="29" t="str">
        <f>IF(P3="","",RANK(P3,$P$3:$P$82,0))</f>
        <v/>
      </c>
      <c r="P3" s="29" t="str">
        <f>IF(AR3="","",IF(AA3='Instructions &amp; Reference'!$C$13,Scores!AR3,""))</f>
        <v/>
      </c>
      <c r="Q3" s="28" t="str">
        <f>IF(R3="","",RANK(R3,$R$3:$R$82,0))</f>
        <v/>
      </c>
      <c r="R3" s="28" t="str">
        <f>IF(AR3="","",IF(AA3='Instructions &amp; Reference'!$C$14,Scores!AR3,""))</f>
        <v/>
      </c>
      <c r="S3" s="29" t="str">
        <f>IF(T3="","",RANK(T3,$T$3:$T$82,0))</f>
        <v/>
      </c>
      <c r="T3" s="29" t="str">
        <f>IF(AR3="","",IF(AA3='Instructions &amp; Reference'!$C$15,Scores!AR3,""))</f>
        <v/>
      </c>
      <c r="U3" s="28" t="str">
        <f>IF(V3="","",RANK(V3,$V$3:$V$82,0))</f>
        <v/>
      </c>
      <c r="V3" s="28" t="str">
        <f>IF(AR3="","",IF(AA3='Instructions &amp; Reference'!$C$16,Scores!AR3,""))</f>
        <v/>
      </c>
      <c r="W3" s="29" t="str">
        <f>IF(X3="","",RANK(X3,$X$3:$X$82,0))</f>
        <v/>
      </c>
      <c r="X3" s="30" t="str">
        <f>IF(AR3="","",IF(AA3='Instructions &amp; Reference'!$C$17,Scores!AR3,""))</f>
        <v/>
      </c>
      <c r="Y3" s="31"/>
      <c r="Z3" s="32" t="str">
        <f>IF('Teams &amp; HM'!A2="","",'Teams &amp; HM'!A2)</f>
        <v/>
      </c>
      <c r="AA3" s="126" t="str">
        <f>IF('Teams &amp; HM'!H4="","",'Teams &amp; HM'!H4)</f>
        <v/>
      </c>
      <c r="AB3" s="126" t="str">
        <f>IF('Teams &amp; HM'!A4="","",'Teams &amp; HM'!A4)</f>
        <v/>
      </c>
      <c r="AC3" s="126" t="str">
        <f>IF('Teams &amp; HM'!B4="","",'Teams &amp; HM'!B4)</f>
        <v/>
      </c>
      <c r="AE3" s="126" t="str">
        <f>IF(Ride!V3="","",Ride!X3)</f>
        <v/>
      </c>
      <c r="AF3" s="126" t="str">
        <f>IF(Run!L3="","",Run!L3)</f>
        <v/>
      </c>
      <c r="AG3" s="126" t="str">
        <f>IF(Shoot!J3="","",Shoot!J3)</f>
        <v/>
      </c>
      <c r="AH3" s="126" t="str">
        <f>IF(Swim!K3="","",Swim!K3)</f>
        <v/>
      </c>
      <c r="AI3" s="126" t="str">
        <f>IF(AE3="","",SUM(AE3:AH3))</f>
        <v/>
      </c>
      <c r="AK3" s="7"/>
      <c r="AL3" s="58" t="str">
        <f>IF(AI3="","",IF(AK3="",AI3,SUM(AI3,AK3)))</f>
        <v/>
      </c>
      <c r="AN3" s="127" t="str">
        <f>IF('Teams &amp; HM'!Q4="","",'Teams &amp; HM'!Q4)</f>
        <v/>
      </c>
      <c r="AO3" s="127" t="str">
        <f>IF('Teams &amp; HM'!R4="","",'Teams &amp; HM'!R4)</f>
        <v/>
      </c>
      <c r="AP3" s="128">
        <f>IF('Teams &amp; HM'!T4="","",'Teams &amp; HM'!T4)</f>
        <v>0</v>
      </c>
      <c r="AR3" s="59" t="str">
        <f>IF(AI3="","",SUM(AL3,AO3))</f>
        <v/>
      </c>
      <c r="AT3" s="131"/>
      <c r="AU3" s="120" t="str">
        <f>IF(AC3="","",SUM(Ride!Y3+Run!M3+Shoot!K3+Swim!L3+AP3+AT3))</f>
        <v/>
      </c>
    </row>
    <row r="4" spans="1:47" x14ac:dyDescent="0.25">
      <c r="A4" s="28" t="str">
        <f t="shared" ref="A4:A67" si="0">IF(B4="","",RANK(B4,$B$3:$B$82))</f>
        <v/>
      </c>
      <c r="B4" s="28" t="str">
        <f>IF(AR4="","",IF(AA4='Instructions &amp; Reference'!$C$6,Scores!AR4,""))</f>
        <v/>
      </c>
      <c r="C4" s="29" t="str">
        <f>IF(D4="","",RANK(D4,$D$3:$D83,0))</f>
        <v/>
      </c>
      <c r="D4" s="29" t="str">
        <f>IF(AR4="","",IF(AA4='Instructions &amp; Reference'!$C$7,Scores!AR4,""))</f>
        <v/>
      </c>
      <c r="E4" s="28" t="str">
        <f t="shared" ref="E4:E67" si="1">IF(F4="","",RANK(F4,$F$3:$F$82,0))</f>
        <v/>
      </c>
      <c r="F4" s="28" t="str">
        <f>IF(AR4="","",IF(AA4='Instructions &amp; Reference'!$C$8,Scores!AR4,""))</f>
        <v/>
      </c>
      <c r="G4" s="29" t="str">
        <f t="shared" ref="G4:G67" si="2">IF(H4="","",RANK(H4,$H$3:$H$82,0))</f>
        <v/>
      </c>
      <c r="H4" s="29" t="str">
        <f>IF(AR4="","",IF(AA4='Instructions &amp; Reference'!$C$9,Scores!AR4,""))</f>
        <v/>
      </c>
      <c r="I4" s="28" t="str">
        <f t="shared" ref="I4:I67" si="3">IF(J4="","",RANK(J4,$J$3:$J$82,0))</f>
        <v/>
      </c>
      <c r="J4" s="28" t="str">
        <f>IF(AR4="","",IF(AA4='Instructions &amp; Reference'!$C$10,Scores!AR4,""))</f>
        <v/>
      </c>
      <c r="K4" s="29" t="str">
        <f t="shared" ref="K4:K67" si="4">IF(L4="","",RANK(L4,$L$3:$L$82,0))</f>
        <v/>
      </c>
      <c r="L4" s="29" t="str">
        <f>IF(AR4="","",IF(AA4='Instructions &amp; Reference'!$C$11,Scores!AR4,""))</f>
        <v/>
      </c>
      <c r="M4" s="28" t="str">
        <f t="shared" ref="M4:M67" si="5">IF(N4="","",RANK(N4,$N$3:$N$82,0))</f>
        <v/>
      </c>
      <c r="N4" s="28" t="str">
        <f>IF(AR4="","",IF(AA4='Instructions &amp; Reference'!$C$12,Scores!AR4,""))</f>
        <v/>
      </c>
      <c r="O4" s="29" t="str">
        <f t="shared" ref="O4:O67" si="6">IF(P4="","",RANK(P4,$P$3:$P$82,0))</f>
        <v/>
      </c>
      <c r="P4" s="29" t="str">
        <f>IF(AR4="","",IF(AA4='Instructions &amp; Reference'!$C$13,Scores!AR4,""))</f>
        <v/>
      </c>
      <c r="Q4" s="28" t="str">
        <f t="shared" ref="Q4:Q67" si="7">IF(R4="","",RANK(R4,$R$3:$R$82,0))</f>
        <v/>
      </c>
      <c r="R4" s="28" t="str">
        <f>IF(AR4="","",IF(AA4='Instructions &amp; Reference'!$C$14,Scores!AR4,""))</f>
        <v/>
      </c>
      <c r="S4" s="29" t="str">
        <f t="shared" ref="S4:S67" si="8">IF(T4="","",RANK(T4,$T$3:$T$82,0))</f>
        <v/>
      </c>
      <c r="T4" s="29" t="str">
        <f>IF(AR4="","",IF(AA4='Instructions &amp; Reference'!$C$15,Scores!AR4,""))</f>
        <v/>
      </c>
      <c r="U4" s="28" t="str">
        <f t="shared" ref="U4:U67" si="9">IF(V4="","",RANK(V4,$V$3:$V$82,0))</f>
        <v/>
      </c>
      <c r="V4" s="28" t="str">
        <f>IF(AR4="","",IF(AA4='Instructions &amp; Reference'!$C$16,Scores!AR4,""))</f>
        <v/>
      </c>
      <c r="W4" s="29" t="str">
        <f t="shared" ref="W4:W67" si="10">IF(X4="","",RANK(X4,$X$3:$X$82,0))</f>
        <v/>
      </c>
      <c r="X4" s="30" t="str">
        <f>IF(AR4="","",IF(AA4='Instructions &amp; Reference'!$C$17,Scores!AR4,""))</f>
        <v/>
      </c>
      <c r="Z4" s="32" t="str">
        <f>IF('Teams &amp; HM'!A2="","",'Teams &amp; HM'!A2)</f>
        <v/>
      </c>
      <c r="AA4" s="126" t="str">
        <f>IF('Teams &amp; HM'!H5="","",'Teams &amp; HM'!H5)</f>
        <v/>
      </c>
      <c r="AB4" s="126" t="str">
        <f>IF('Teams &amp; HM'!A5="","",'Teams &amp; HM'!A5)</f>
        <v/>
      </c>
      <c r="AC4" s="126" t="str">
        <f>IF('Teams &amp; HM'!B5="","",'Teams &amp; HM'!B5)</f>
        <v/>
      </c>
      <c r="AE4" s="126" t="str">
        <f>IF(Ride!V4="","",Ride!X4)</f>
        <v/>
      </c>
      <c r="AF4" s="126" t="str">
        <f>IF(Run!L4="","",Run!L4)</f>
        <v/>
      </c>
      <c r="AG4" s="126" t="str">
        <f>IF(Shoot!J4="","",Shoot!J4)</f>
        <v/>
      </c>
      <c r="AH4" s="126" t="str">
        <f>IF(Swim!K4="","",Swim!K4)</f>
        <v/>
      </c>
      <c r="AI4" s="126" t="str">
        <f t="shared" ref="AI4:AI67" si="11">IF(AE4="","",SUM(AE4:AH4))</f>
        <v/>
      </c>
      <c r="AK4" s="7"/>
      <c r="AL4" s="58" t="str">
        <f t="shared" ref="AL4:AL67" si="12">IF(AI4="","",IF(AK4="",AI4,SUM(AI4+AK4)))</f>
        <v/>
      </c>
      <c r="AN4" s="127" t="str">
        <f>IF('Teams &amp; HM'!Q5="","",'Teams &amp; HM'!Q5)</f>
        <v/>
      </c>
      <c r="AO4" s="127" t="str">
        <f>IF('Teams &amp; HM'!R5="","",'Teams &amp; HM'!R5)</f>
        <v/>
      </c>
      <c r="AP4" s="129"/>
      <c r="AR4" s="59" t="str">
        <f t="shared" ref="AR4:AR67" si="13">IF(AI4="","",SUM(AL4,AO4))</f>
        <v/>
      </c>
      <c r="AT4" s="132"/>
      <c r="AU4" s="121"/>
    </row>
    <row r="5" spans="1:47" x14ac:dyDescent="0.25">
      <c r="A5" s="28" t="str">
        <f t="shared" si="0"/>
        <v/>
      </c>
      <c r="B5" s="28" t="str">
        <f>IF(AR5="","",IF(AA5='Instructions &amp; Reference'!$C$6,Scores!AR5,""))</f>
        <v/>
      </c>
      <c r="C5" s="29" t="str">
        <f>IF(D5="","",RANK(D5,$D$3:$D84,0))</f>
        <v/>
      </c>
      <c r="D5" s="29" t="str">
        <f>IF(AR5="","",IF(AA5='Instructions &amp; Reference'!$C$7,Scores!AR5,""))</f>
        <v/>
      </c>
      <c r="E5" s="28" t="str">
        <f t="shared" si="1"/>
        <v/>
      </c>
      <c r="F5" s="28" t="str">
        <f>IF(AR5="","",IF(AA5='Instructions &amp; Reference'!$C$8,Scores!AR5,""))</f>
        <v/>
      </c>
      <c r="G5" s="29" t="str">
        <f t="shared" si="2"/>
        <v/>
      </c>
      <c r="H5" s="29" t="str">
        <f>IF(AR5="","",IF(AA5='Instructions &amp; Reference'!$C$9,Scores!AR5,""))</f>
        <v/>
      </c>
      <c r="I5" s="28" t="str">
        <f t="shared" si="3"/>
        <v/>
      </c>
      <c r="J5" s="28" t="str">
        <f>IF(AR5="","",IF(AA5='Instructions &amp; Reference'!$C$10,Scores!AR5,""))</f>
        <v/>
      </c>
      <c r="K5" s="29" t="str">
        <f t="shared" si="4"/>
        <v/>
      </c>
      <c r="L5" s="29" t="str">
        <f>IF(AR5="","",IF(AA5='Instructions &amp; Reference'!$C$11,Scores!AR5,""))</f>
        <v/>
      </c>
      <c r="M5" s="28" t="str">
        <f t="shared" si="5"/>
        <v/>
      </c>
      <c r="N5" s="28" t="str">
        <f>IF(AR5="","",IF(AA5='Instructions &amp; Reference'!$C$12,Scores!AR5,""))</f>
        <v/>
      </c>
      <c r="O5" s="29" t="str">
        <f t="shared" si="6"/>
        <v/>
      </c>
      <c r="P5" s="29" t="str">
        <f>IF(AR5="","",IF(AA5='Instructions &amp; Reference'!$C$13,Scores!AR5,""))</f>
        <v/>
      </c>
      <c r="Q5" s="28" t="str">
        <f t="shared" si="7"/>
        <v/>
      </c>
      <c r="R5" s="28" t="str">
        <f>IF(AR5="","",IF(AA5='Instructions &amp; Reference'!$C$14,Scores!AR5,""))</f>
        <v/>
      </c>
      <c r="S5" s="29" t="str">
        <f t="shared" si="8"/>
        <v/>
      </c>
      <c r="T5" s="29" t="str">
        <f>IF(AR5="","",IF(AA5='Instructions &amp; Reference'!$C$15,Scores!AR5,""))</f>
        <v/>
      </c>
      <c r="U5" s="28" t="str">
        <f t="shared" si="9"/>
        <v/>
      </c>
      <c r="V5" s="28" t="str">
        <f>IF(AR5="","",IF(AA5='Instructions &amp; Reference'!$C$16,Scores!AR5,""))</f>
        <v/>
      </c>
      <c r="W5" s="29" t="str">
        <f t="shared" si="10"/>
        <v/>
      </c>
      <c r="X5" s="30" t="str">
        <f>IF(AR5="","",IF(AA5='Instructions &amp; Reference'!$C$17,Scores!AR5,""))</f>
        <v/>
      </c>
      <c r="Z5" s="32" t="str">
        <f>IF('Teams &amp; HM'!A2="","",'Teams &amp; HM'!A2)</f>
        <v/>
      </c>
      <c r="AA5" s="126" t="str">
        <f>IF('Teams &amp; HM'!H6="","",'Teams &amp; HM'!H6)</f>
        <v/>
      </c>
      <c r="AB5" s="126" t="str">
        <f>IF('Teams &amp; HM'!A6="","",'Teams &amp; HM'!A6)</f>
        <v/>
      </c>
      <c r="AC5" s="126" t="str">
        <f>IF('Teams &amp; HM'!B6="","",'Teams &amp; HM'!B6)</f>
        <v/>
      </c>
      <c r="AE5" s="126" t="str">
        <f>IF(Ride!V5="","",Ride!X5)</f>
        <v/>
      </c>
      <c r="AF5" s="126" t="str">
        <f>IF(Run!L5="","",Run!L5)</f>
        <v/>
      </c>
      <c r="AG5" s="126" t="str">
        <f>IF(Shoot!J5="","",Shoot!J5)</f>
        <v/>
      </c>
      <c r="AH5" s="126" t="str">
        <f>IF(Swim!K5="","",Swim!K5)</f>
        <v/>
      </c>
      <c r="AI5" s="126" t="str">
        <f t="shared" si="11"/>
        <v/>
      </c>
      <c r="AK5" s="7"/>
      <c r="AL5" s="58" t="str">
        <f t="shared" si="12"/>
        <v/>
      </c>
      <c r="AN5" s="127" t="str">
        <f>IF('Teams &amp; HM'!Q6="","",'Teams &amp; HM'!Q6)</f>
        <v/>
      </c>
      <c r="AO5" s="127" t="str">
        <f>IF('Teams &amp; HM'!R6="","",'Teams &amp; HM'!R6)</f>
        <v/>
      </c>
      <c r="AP5" s="129"/>
      <c r="AR5" s="59" t="str">
        <f t="shared" si="13"/>
        <v/>
      </c>
      <c r="AT5" s="132"/>
      <c r="AU5" s="121"/>
    </row>
    <row r="6" spans="1:47" x14ac:dyDescent="0.25">
      <c r="A6" s="28" t="str">
        <f t="shared" si="0"/>
        <v/>
      </c>
      <c r="B6" s="28" t="str">
        <f>IF(AR6="","",IF(AA6='Instructions &amp; Reference'!$C$6,Scores!AR6,""))</f>
        <v/>
      </c>
      <c r="C6" s="29" t="str">
        <f>IF(D6="","",RANK(D6,$D$3:$D85,0))</f>
        <v/>
      </c>
      <c r="D6" s="29" t="str">
        <f>IF(AR6="","",IF(AA6='Instructions &amp; Reference'!$C$7,Scores!AR6,""))</f>
        <v/>
      </c>
      <c r="E6" s="28" t="str">
        <f t="shared" si="1"/>
        <v/>
      </c>
      <c r="F6" s="28" t="str">
        <f>IF(AR6="","",IF(AA6='Instructions &amp; Reference'!$C$8,Scores!AR6,""))</f>
        <v/>
      </c>
      <c r="G6" s="29" t="str">
        <f t="shared" si="2"/>
        <v/>
      </c>
      <c r="H6" s="29" t="str">
        <f>IF(AR6="","",IF(AA6='Instructions &amp; Reference'!$C$9,Scores!AR6,""))</f>
        <v/>
      </c>
      <c r="I6" s="28" t="str">
        <f t="shared" si="3"/>
        <v/>
      </c>
      <c r="J6" s="28" t="str">
        <f>IF(AR6="","",IF(AA6='Instructions &amp; Reference'!$C$10,Scores!AR6,""))</f>
        <v/>
      </c>
      <c r="K6" s="29" t="str">
        <f t="shared" si="4"/>
        <v/>
      </c>
      <c r="L6" s="29" t="str">
        <f>IF(AR6="","",IF(AA6='Instructions &amp; Reference'!$C$11,Scores!AR6,""))</f>
        <v/>
      </c>
      <c r="M6" s="28" t="str">
        <f t="shared" si="5"/>
        <v/>
      </c>
      <c r="N6" s="28" t="str">
        <f>IF(AR6="","",IF(AA6='Instructions &amp; Reference'!$C$12,Scores!AR6,""))</f>
        <v/>
      </c>
      <c r="O6" s="29" t="str">
        <f t="shared" si="6"/>
        <v/>
      </c>
      <c r="P6" s="29" t="str">
        <f>IF(AR6="","",IF(AA6='Instructions &amp; Reference'!$C$13,Scores!AR6,""))</f>
        <v/>
      </c>
      <c r="Q6" s="28" t="str">
        <f t="shared" si="7"/>
        <v/>
      </c>
      <c r="R6" s="28" t="str">
        <f>IF(AR6="","",IF(AA6='Instructions &amp; Reference'!$C$14,Scores!AR6,""))</f>
        <v/>
      </c>
      <c r="S6" s="29" t="str">
        <f t="shared" si="8"/>
        <v/>
      </c>
      <c r="T6" s="29" t="str">
        <f>IF(AR6="","",IF(AA6='Instructions &amp; Reference'!$C$15,Scores!AR6,""))</f>
        <v/>
      </c>
      <c r="U6" s="28" t="str">
        <f t="shared" si="9"/>
        <v/>
      </c>
      <c r="V6" s="28" t="str">
        <f>IF(AR6="","",IF(AA6='Instructions &amp; Reference'!$C$16,Scores!AR6,""))</f>
        <v/>
      </c>
      <c r="W6" s="29" t="str">
        <f t="shared" si="10"/>
        <v/>
      </c>
      <c r="X6" s="30" t="str">
        <f>IF(AR6="","",IF(AA6='Instructions &amp; Reference'!$C$17,Scores!AR6,""))</f>
        <v/>
      </c>
      <c r="Z6" s="32" t="str">
        <f>IF('Teams &amp; HM'!A2="","",'Teams &amp; HM'!A2)</f>
        <v/>
      </c>
      <c r="AA6" s="126" t="str">
        <f>IF('Teams &amp; HM'!H7="","",'Teams &amp; HM'!H7)</f>
        <v/>
      </c>
      <c r="AB6" s="126" t="str">
        <f>IF('Teams &amp; HM'!A7="","",'Teams &amp; HM'!A7)</f>
        <v/>
      </c>
      <c r="AC6" s="126" t="str">
        <f>IF('Teams &amp; HM'!B7="","",'Teams &amp; HM'!B7)</f>
        <v/>
      </c>
      <c r="AE6" s="126" t="str">
        <f>IF(Ride!V6="","",Ride!X6)</f>
        <v/>
      </c>
      <c r="AF6" s="126" t="str">
        <f>IF(Run!L6="","",Run!L6)</f>
        <v/>
      </c>
      <c r="AG6" s="126" t="str">
        <f>IF(Shoot!J6="","",Shoot!J6)</f>
        <v/>
      </c>
      <c r="AH6" s="126" t="str">
        <f>IF(Swim!K6="","",Swim!K6)</f>
        <v/>
      </c>
      <c r="AI6" s="126" t="str">
        <f t="shared" si="11"/>
        <v/>
      </c>
      <c r="AK6" s="7"/>
      <c r="AL6" s="58" t="str">
        <f t="shared" si="12"/>
        <v/>
      </c>
      <c r="AN6" s="127" t="str">
        <f>IF('Teams &amp; HM'!Q7="","",'Teams &amp; HM'!Q7)</f>
        <v/>
      </c>
      <c r="AO6" s="127" t="str">
        <f>IF('Teams &amp; HM'!R7="","",'Teams &amp; HM'!R7)</f>
        <v/>
      </c>
      <c r="AP6" s="129"/>
      <c r="AR6" s="59" t="str">
        <f t="shared" si="13"/>
        <v/>
      </c>
      <c r="AT6" s="132"/>
      <c r="AU6" s="121"/>
    </row>
    <row r="7" spans="1:47" x14ac:dyDescent="0.25">
      <c r="A7" s="28" t="str">
        <f t="shared" si="0"/>
        <v/>
      </c>
      <c r="B7" s="28" t="str">
        <f>IF(AR7="","",IF(AA7='Instructions &amp; Reference'!$C$6,Scores!AR7,""))</f>
        <v/>
      </c>
      <c r="C7" s="29" t="str">
        <f>IF(D7="","",RANK(D7,$D$3:$D86,0))</f>
        <v/>
      </c>
      <c r="D7" s="29" t="str">
        <f>IF(AR7="","",IF(AA7='Instructions &amp; Reference'!$C$7,Scores!AR7,""))</f>
        <v/>
      </c>
      <c r="E7" s="28" t="str">
        <f t="shared" si="1"/>
        <v/>
      </c>
      <c r="F7" s="28" t="str">
        <f>IF(AR7="","",IF(AA7='Instructions &amp; Reference'!$C$8,Scores!AR7,""))</f>
        <v/>
      </c>
      <c r="G7" s="29" t="str">
        <f t="shared" si="2"/>
        <v/>
      </c>
      <c r="H7" s="29" t="str">
        <f>IF(AR7="","",IF(AA7='Instructions &amp; Reference'!$C$9,Scores!AR7,""))</f>
        <v/>
      </c>
      <c r="I7" s="28" t="str">
        <f t="shared" si="3"/>
        <v/>
      </c>
      <c r="J7" s="28" t="str">
        <f>IF(AR7="","",IF(AA7='Instructions &amp; Reference'!$C$10,Scores!AR7,""))</f>
        <v/>
      </c>
      <c r="K7" s="29" t="str">
        <f t="shared" si="4"/>
        <v/>
      </c>
      <c r="L7" s="29" t="str">
        <f>IF(AR7="","",IF(AA7='Instructions &amp; Reference'!$C$11,Scores!AR7,""))</f>
        <v/>
      </c>
      <c r="M7" s="28" t="str">
        <f t="shared" si="5"/>
        <v/>
      </c>
      <c r="N7" s="28" t="str">
        <f>IF(AR7="","",IF(AA7='Instructions &amp; Reference'!$C$12,Scores!AR7,""))</f>
        <v/>
      </c>
      <c r="O7" s="29" t="str">
        <f t="shared" si="6"/>
        <v/>
      </c>
      <c r="P7" s="29" t="str">
        <f>IF(AR7="","",IF(AA7='Instructions &amp; Reference'!$C$13,Scores!AR7,""))</f>
        <v/>
      </c>
      <c r="Q7" s="28" t="str">
        <f t="shared" si="7"/>
        <v/>
      </c>
      <c r="R7" s="28" t="str">
        <f>IF(AR7="","",IF(AA7='Instructions &amp; Reference'!$C$14,Scores!AR7,""))</f>
        <v/>
      </c>
      <c r="S7" s="29" t="str">
        <f t="shared" si="8"/>
        <v/>
      </c>
      <c r="T7" s="29" t="str">
        <f>IF(AR7="","",IF(AA7='Instructions &amp; Reference'!$C$15,Scores!AR7,""))</f>
        <v/>
      </c>
      <c r="U7" s="28" t="str">
        <f t="shared" si="9"/>
        <v/>
      </c>
      <c r="V7" s="28" t="str">
        <f>IF(AR7="","",IF(AA7='Instructions &amp; Reference'!$C$16,Scores!AR7,""))</f>
        <v/>
      </c>
      <c r="W7" s="29" t="str">
        <f t="shared" si="10"/>
        <v/>
      </c>
      <c r="X7" s="30" t="str">
        <f>IF(AR7="","",IF(AA7='Instructions &amp; Reference'!$C$17,Scores!AR7,""))</f>
        <v/>
      </c>
      <c r="Z7" s="32" t="str">
        <f>IF('Teams &amp; HM'!A2="","",'Teams &amp; HM'!A2)</f>
        <v/>
      </c>
      <c r="AA7" s="126" t="str">
        <f>IF('Teams &amp; HM'!H8="","",'Teams &amp; HM'!H8)</f>
        <v/>
      </c>
      <c r="AB7" s="126" t="str">
        <f>IF('Teams &amp; HM'!A8="","",'Teams &amp; HM'!A8)</f>
        <v/>
      </c>
      <c r="AC7" s="126" t="str">
        <f>IF('Teams &amp; HM'!B8="","",'Teams &amp; HM'!B8)</f>
        <v/>
      </c>
      <c r="AE7" s="126" t="str">
        <f>IF(Ride!V7="","",Ride!X7)</f>
        <v/>
      </c>
      <c r="AF7" s="126" t="str">
        <f>IF(Run!L7="","",Run!L7)</f>
        <v/>
      </c>
      <c r="AG7" s="126" t="str">
        <f>IF(Shoot!J7="","",Shoot!J7)</f>
        <v/>
      </c>
      <c r="AH7" s="126" t="str">
        <f>IF(Swim!K7="","",Swim!K7)</f>
        <v/>
      </c>
      <c r="AI7" s="126" t="str">
        <f t="shared" si="11"/>
        <v/>
      </c>
      <c r="AK7" s="7"/>
      <c r="AL7" s="58" t="str">
        <f t="shared" si="12"/>
        <v/>
      </c>
      <c r="AN7" s="127" t="str">
        <f>IF('Teams &amp; HM'!Q8="","",'Teams &amp; HM'!Q8)</f>
        <v/>
      </c>
      <c r="AO7" s="127" t="str">
        <f>IF('Teams &amp; HM'!R8="","",'Teams &amp; HM'!R8)</f>
        <v/>
      </c>
      <c r="AP7" s="130"/>
      <c r="AR7" s="59" t="str">
        <f t="shared" si="13"/>
        <v/>
      </c>
      <c r="AT7" s="133"/>
      <c r="AU7" s="122"/>
    </row>
    <row r="8" spans="1:47" x14ac:dyDescent="0.25">
      <c r="A8" s="28" t="str">
        <f t="shared" si="0"/>
        <v/>
      </c>
      <c r="B8" s="28" t="str">
        <f>IF(AR8="","",IF(AA8='Instructions &amp; Reference'!$C$6,Scores!AR8,""))</f>
        <v/>
      </c>
      <c r="C8" s="29" t="str">
        <f>IF(D8="","",RANK(D8,$D$3:$D87,0))</f>
        <v/>
      </c>
      <c r="D8" s="29" t="str">
        <f>IF(AR8="","",IF(AA8='Instructions &amp; Reference'!$C$7,Scores!AR8,""))</f>
        <v/>
      </c>
      <c r="E8" s="28" t="str">
        <f t="shared" si="1"/>
        <v/>
      </c>
      <c r="F8" s="28" t="str">
        <f>IF(AR8="","",IF(AA8='Instructions &amp; Reference'!$C$8,Scores!AR8,""))</f>
        <v/>
      </c>
      <c r="G8" s="29" t="str">
        <f t="shared" si="2"/>
        <v/>
      </c>
      <c r="H8" s="29" t="str">
        <f>IF(AR8="","",IF(AA8='Instructions &amp; Reference'!$C$9,Scores!AR8,""))</f>
        <v/>
      </c>
      <c r="I8" s="28" t="str">
        <f t="shared" si="3"/>
        <v/>
      </c>
      <c r="J8" s="28" t="str">
        <f>IF(AR8="","",IF(AA8='Instructions &amp; Reference'!$C$10,Scores!AR8,""))</f>
        <v/>
      </c>
      <c r="K8" s="29" t="str">
        <f t="shared" si="4"/>
        <v/>
      </c>
      <c r="L8" s="29" t="str">
        <f>IF(AR8="","",IF(AA8='Instructions &amp; Reference'!$C$11,Scores!AR8,""))</f>
        <v/>
      </c>
      <c r="M8" s="28" t="str">
        <f t="shared" si="5"/>
        <v/>
      </c>
      <c r="N8" s="28" t="str">
        <f>IF(AR8="","",IF(AA8='Instructions &amp; Reference'!$C$12,Scores!AR8,""))</f>
        <v/>
      </c>
      <c r="O8" s="29" t="str">
        <f t="shared" si="6"/>
        <v/>
      </c>
      <c r="P8" s="29" t="str">
        <f>IF(AR8="","",IF(AA8='Instructions &amp; Reference'!$C$13,Scores!AR8,""))</f>
        <v/>
      </c>
      <c r="Q8" s="28" t="str">
        <f t="shared" si="7"/>
        <v/>
      </c>
      <c r="R8" s="28" t="str">
        <f>IF(AR8="","",IF(AA8='Instructions &amp; Reference'!$C$14,Scores!AR8,""))</f>
        <v/>
      </c>
      <c r="S8" s="29" t="str">
        <f t="shared" si="8"/>
        <v/>
      </c>
      <c r="T8" s="29" t="str">
        <f>IF(AR8="","",IF(AA8='Instructions &amp; Reference'!$C$15,Scores!AR8,""))</f>
        <v/>
      </c>
      <c r="U8" s="28" t="str">
        <f t="shared" si="9"/>
        <v/>
      </c>
      <c r="V8" s="28" t="str">
        <f>IF(AR8="","",IF(AA8='Instructions &amp; Reference'!$C$16,Scores!AR8,""))</f>
        <v/>
      </c>
      <c r="W8" s="29" t="str">
        <f t="shared" si="10"/>
        <v/>
      </c>
      <c r="X8" s="30" t="str">
        <f>IF(AR8="","",IF(AA8='Instructions &amp; Reference'!$C$17,Scores!AR8,""))</f>
        <v/>
      </c>
      <c r="Z8" s="32" t="str">
        <f>IF('Teams &amp; HM'!A10="","",'Teams &amp; HM'!A10)</f>
        <v/>
      </c>
      <c r="AA8" s="126" t="str">
        <f>IF('Teams &amp; HM'!H12="","",'Teams &amp; HM'!H12)</f>
        <v/>
      </c>
      <c r="AB8" s="126" t="str">
        <f>IF('Teams &amp; HM'!A12="","",'Teams &amp; HM'!A12)</f>
        <v/>
      </c>
      <c r="AC8" s="126" t="str">
        <f>IF('Teams &amp; HM'!B12="","",'Teams &amp; HM'!B12)</f>
        <v/>
      </c>
      <c r="AE8" s="126" t="str">
        <f>IF(Ride!V8="","",Ride!X8)</f>
        <v/>
      </c>
      <c r="AF8" s="126" t="str">
        <f>IF(Run!L8="","",Run!L8)</f>
        <v/>
      </c>
      <c r="AG8" s="126" t="str">
        <f>IF(Shoot!J8="","",Shoot!J8)</f>
        <v/>
      </c>
      <c r="AH8" s="126" t="str">
        <f>IF(Swim!K8="","",Swim!K8)</f>
        <v/>
      </c>
      <c r="AI8" s="126" t="str">
        <f t="shared" si="11"/>
        <v/>
      </c>
      <c r="AK8" s="7"/>
      <c r="AL8" s="58" t="str">
        <f t="shared" si="12"/>
        <v/>
      </c>
      <c r="AN8" s="127" t="str">
        <f>IF('Teams &amp; HM'!Q12="","",'Teams &amp; HM'!Q12)</f>
        <v/>
      </c>
      <c r="AO8" s="127" t="str">
        <f>IF('Teams &amp; HM'!R12="","",'Teams &amp; HM'!R12)</f>
        <v/>
      </c>
      <c r="AP8" s="128">
        <f>IF('Teams &amp; HM'!T12="","",'Teams &amp; HM'!T12)</f>
        <v>0</v>
      </c>
      <c r="AR8" s="59" t="str">
        <f t="shared" si="13"/>
        <v/>
      </c>
      <c r="AT8" s="131"/>
      <c r="AU8" s="120" t="str">
        <f>IF(AC8="","",SUM(Ride!Y8+Run!M8+Shoot!K8+Swim!L8+AP8+AT8))</f>
        <v/>
      </c>
    </row>
    <row r="9" spans="1:47" x14ac:dyDescent="0.25">
      <c r="A9" s="28" t="str">
        <f t="shared" si="0"/>
        <v/>
      </c>
      <c r="B9" s="28" t="str">
        <f>IF(AR9="","",IF(AA9='Instructions &amp; Reference'!$C$6,Scores!AR9,""))</f>
        <v/>
      </c>
      <c r="C9" s="29" t="str">
        <f>IF(D9="","",RANK(D9,$D$3:$D88,0))</f>
        <v/>
      </c>
      <c r="D9" s="29" t="str">
        <f>IF(AR9="","",IF(AA9='Instructions &amp; Reference'!$C$7,Scores!AR9,""))</f>
        <v/>
      </c>
      <c r="E9" s="28" t="str">
        <f t="shared" si="1"/>
        <v/>
      </c>
      <c r="F9" s="28" t="str">
        <f>IF(AR9="","",IF(AA9='Instructions &amp; Reference'!$C$8,Scores!AR9,""))</f>
        <v/>
      </c>
      <c r="G9" s="29" t="str">
        <f t="shared" si="2"/>
        <v/>
      </c>
      <c r="H9" s="29" t="str">
        <f>IF(AR9="","",IF(AA9='Instructions &amp; Reference'!$C$9,Scores!AR9,""))</f>
        <v/>
      </c>
      <c r="I9" s="28" t="str">
        <f t="shared" si="3"/>
        <v/>
      </c>
      <c r="J9" s="28" t="str">
        <f>IF(AR9="","",IF(AA9='Instructions &amp; Reference'!$C$10,Scores!AR9,""))</f>
        <v/>
      </c>
      <c r="K9" s="29" t="str">
        <f t="shared" si="4"/>
        <v/>
      </c>
      <c r="L9" s="29" t="str">
        <f>IF(AR9="","",IF(AA9='Instructions &amp; Reference'!$C$11,Scores!AR9,""))</f>
        <v/>
      </c>
      <c r="M9" s="28" t="str">
        <f t="shared" si="5"/>
        <v/>
      </c>
      <c r="N9" s="28" t="str">
        <f>IF(AR9="","",IF(AA9='Instructions &amp; Reference'!$C$12,Scores!AR9,""))</f>
        <v/>
      </c>
      <c r="O9" s="29" t="str">
        <f t="shared" si="6"/>
        <v/>
      </c>
      <c r="P9" s="29" t="str">
        <f>IF(AR9="","",IF(AA9='Instructions &amp; Reference'!$C$13,Scores!AR9,""))</f>
        <v/>
      </c>
      <c r="Q9" s="28" t="str">
        <f t="shared" si="7"/>
        <v/>
      </c>
      <c r="R9" s="28" t="str">
        <f>IF(AR9="","",IF(AA9='Instructions &amp; Reference'!$C$14,Scores!AR9,""))</f>
        <v/>
      </c>
      <c r="S9" s="29" t="str">
        <f t="shared" si="8"/>
        <v/>
      </c>
      <c r="T9" s="29" t="str">
        <f>IF(AR9="","",IF(AA9='Instructions &amp; Reference'!$C$15,Scores!AR9,""))</f>
        <v/>
      </c>
      <c r="U9" s="28" t="str">
        <f t="shared" si="9"/>
        <v/>
      </c>
      <c r="V9" s="28" t="str">
        <f>IF(AR9="","",IF(AA9='Instructions &amp; Reference'!$C$16,Scores!AR9,""))</f>
        <v/>
      </c>
      <c r="W9" s="29" t="str">
        <f t="shared" si="10"/>
        <v/>
      </c>
      <c r="X9" s="30" t="str">
        <f>IF(AR9="","",IF(AA9='Instructions &amp; Reference'!$C$17,Scores!AR9,""))</f>
        <v/>
      </c>
      <c r="Z9" s="32" t="str">
        <f>IF('Teams &amp; HM'!A10="","",'Teams &amp; HM'!A10)</f>
        <v/>
      </c>
      <c r="AA9" s="126" t="str">
        <f>IF('Teams &amp; HM'!H13="","",'Teams &amp; HM'!H13)</f>
        <v/>
      </c>
      <c r="AB9" s="126" t="str">
        <f>IF('Teams &amp; HM'!A13="","",'Teams &amp; HM'!A13)</f>
        <v/>
      </c>
      <c r="AC9" s="126" t="str">
        <f>IF('Teams &amp; HM'!B13="","",'Teams &amp; HM'!B13)</f>
        <v/>
      </c>
      <c r="AE9" s="126" t="str">
        <f>IF(Ride!V9="","",Ride!X9)</f>
        <v/>
      </c>
      <c r="AF9" s="126" t="str">
        <f>IF(Run!L9="","",Run!L9)</f>
        <v/>
      </c>
      <c r="AG9" s="126" t="str">
        <f>IF(Shoot!J9="","",Shoot!J9)</f>
        <v/>
      </c>
      <c r="AH9" s="126" t="str">
        <f>IF(Swim!K9="","",Swim!K9)</f>
        <v/>
      </c>
      <c r="AI9" s="126" t="str">
        <f t="shared" si="11"/>
        <v/>
      </c>
      <c r="AK9" s="7"/>
      <c r="AL9" s="58" t="str">
        <f t="shared" si="12"/>
        <v/>
      </c>
      <c r="AN9" s="127" t="str">
        <f>IF('Teams &amp; HM'!Q13="","",'Teams &amp; HM'!Q13)</f>
        <v/>
      </c>
      <c r="AO9" s="127" t="str">
        <f>IF('Teams &amp; HM'!R13="","",'Teams &amp; HM'!R13)</f>
        <v/>
      </c>
      <c r="AP9" s="129"/>
      <c r="AR9" s="59" t="str">
        <f t="shared" si="13"/>
        <v/>
      </c>
      <c r="AT9" s="132"/>
      <c r="AU9" s="121"/>
    </row>
    <row r="10" spans="1:47" x14ac:dyDescent="0.25">
      <c r="A10" s="28" t="str">
        <f t="shared" si="0"/>
        <v/>
      </c>
      <c r="B10" s="28" t="str">
        <f>IF(AR10="","",IF(AA10='Instructions &amp; Reference'!$C$6,Scores!AR10,""))</f>
        <v/>
      </c>
      <c r="C10" s="29" t="str">
        <f>IF(D10="","",RANK(D10,$D$3:$D89,0))</f>
        <v/>
      </c>
      <c r="D10" s="29" t="str">
        <f>IF(AR10="","",IF(AA10='Instructions &amp; Reference'!$C$7,Scores!AR10,""))</f>
        <v/>
      </c>
      <c r="E10" s="28" t="str">
        <f t="shared" si="1"/>
        <v/>
      </c>
      <c r="F10" s="28" t="str">
        <f>IF(AR10="","",IF(AA10='Instructions &amp; Reference'!$C$8,Scores!AR10,""))</f>
        <v/>
      </c>
      <c r="G10" s="29" t="str">
        <f t="shared" si="2"/>
        <v/>
      </c>
      <c r="H10" s="29" t="str">
        <f>IF(AR10="","",IF(AA10='Instructions &amp; Reference'!$C$9,Scores!AR10,""))</f>
        <v/>
      </c>
      <c r="I10" s="28" t="str">
        <f t="shared" si="3"/>
        <v/>
      </c>
      <c r="J10" s="28" t="str">
        <f>IF(AR10="","",IF(AA10='Instructions &amp; Reference'!$C$10,Scores!AR10,""))</f>
        <v/>
      </c>
      <c r="K10" s="29" t="str">
        <f t="shared" si="4"/>
        <v/>
      </c>
      <c r="L10" s="29" t="str">
        <f>IF(AR10="","",IF(AA10='Instructions &amp; Reference'!$C$11,Scores!AR10,""))</f>
        <v/>
      </c>
      <c r="M10" s="28" t="str">
        <f t="shared" si="5"/>
        <v/>
      </c>
      <c r="N10" s="28" t="str">
        <f>IF(AR10="","",IF(AA10='Instructions &amp; Reference'!$C$12,Scores!AR10,""))</f>
        <v/>
      </c>
      <c r="O10" s="29" t="str">
        <f t="shared" si="6"/>
        <v/>
      </c>
      <c r="P10" s="29" t="str">
        <f>IF(AR10="","",IF(AA10='Instructions &amp; Reference'!$C$13,Scores!AR10,""))</f>
        <v/>
      </c>
      <c r="Q10" s="28" t="str">
        <f t="shared" si="7"/>
        <v/>
      </c>
      <c r="R10" s="28" t="str">
        <f>IF(AR10="","",IF(AA10='Instructions &amp; Reference'!$C$14,Scores!AR10,""))</f>
        <v/>
      </c>
      <c r="S10" s="29" t="str">
        <f t="shared" si="8"/>
        <v/>
      </c>
      <c r="T10" s="29" t="str">
        <f>IF(AR10="","",IF(AA10='Instructions &amp; Reference'!$C$15,Scores!AR10,""))</f>
        <v/>
      </c>
      <c r="U10" s="28" t="str">
        <f t="shared" si="9"/>
        <v/>
      </c>
      <c r="V10" s="28" t="str">
        <f>IF(AR10="","",IF(AA10='Instructions &amp; Reference'!$C$16,Scores!AR10,""))</f>
        <v/>
      </c>
      <c r="W10" s="29" t="str">
        <f t="shared" si="10"/>
        <v/>
      </c>
      <c r="X10" s="30" t="str">
        <f>IF(AR10="","",IF(AA10='Instructions &amp; Reference'!$C$17,Scores!AR10,""))</f>
        <v/>
      </c>
      <c r="Z10" s="32" t="str">
        <f>IF('Teams &amp; HM'!A10="","",'Teams &amp; HM'!A10)</f>
        <v/>
      </c>
      <c r="AA10" s="126" t="str">
        <f>IF('Teams &amp; HM'!H14="","",'Teams &amp; HM'!H14)</f>
        <v/>
      </c>
      <c r="AB10" s="126" t="str">
        <f>IF('Teams &amp; HM'!A14="","",'Teams &amp; HM'!A14)</f>
        <v/>
      </c>
      <c r="AC10" s="126" t="str">
        <f>IF('Teams &amp; HM'!B14="","",'Teams &amp; HM'!B14)</f>
        <v/>
      </c>
      <c r="AE10" s="126" t="str">
        <f>IF(Ride!V10="","",Ride!X10)</f>
        <v/>
      </c>
      <c r="AF10" s="126" t="str">
        <f>IF(Run!L10="","",Run!L10)</f>
        <v/>
      </c>
      <c r="AG10" s="126" t="str">
        <f>IF(Shoot!J10="","",Shoot!J10)</f>
        <v/>
      </c>
      <c r="AH10" s="126" t="str">
        <f>IF(Swim!K10="","",Swim!K10)</f>
        <v/>
      </c>
      <c r="AI10" s="126" t="str">
        <f>IF(AE10="","",SUM(AE10:AH10))</f>
        <v/>
      </c>
      <c r="AK10" s="7"/>
      <c r="AL10" s="58" t="str">
        <f t="shared" si="12"/>
        <v/>
      </c>
      <c r="AN10" s="127" t="str">
        <f>IF('Teams &amp; HM'!Q14="","",'Teams &amp; HM'!Q14)</f>
        <v/>
      </c>
      <c r="AO10" s="127" t="str">
        <f>IF('Teams &amp; HM'!R14="","",'Teams &amp; HM'!R14)</f>
        <v/>
      </c>
      <c r="AP10" s="129"/>
      <c r="AR10" s="59" t="str">
        <f t="shared" si="13"/>
        <v/>
      </c>
      <c r="AT10" s="132"/>
      <c r="AU10" s="121"/>
    </row>
    <row r="11" spans="1:47" x14ac:dyDescent="0.25">
      <c r="A11" s="28" t="str">
        <f t="shared" si="0"/>
        <v/>
      </c>
      <c r="B11" s="28" t="str">
        <f>IF(AR11="","",IF(AA11='Instructions &amp; Reference'!$C$6,Scores!AR11,""))</f>
        <v/>
      </c>
      <c r="C11" s="29" t="str">
        <f>IF(D11="","",RANK(D11,$D$3:$D90,0))</f>
        <v/>
      </c>
      <c r="D11" s="29" t="str">
        <f>IF(AR11="","",IF(AA11='Instructions &amp; Reference'!$C$7,Scores!AR11,""))</f>
        <v/>
      </c>
      <c r="E11" s="28" t="str">
        <f t="shared" si="1"/>
        <v/>
      </c>
      <c r="F11" s="28" t="str">
        <f>IF(AR11="","",IF(AA11='Instructions &amp; Reference'!$C$8,Scores!AR11,""))</f>
        <v/>
      </c>
      <c r="G11" s="29" t="str">
        <f t="shared" si="2"/>
        <v/>
      </c>
      <c r="H11" s="29" t="str">
        <f>IF(AR11="","",IF(AA11='Instructions &amp; Reference'!$C$9,Scores!AR11,""))</f>
        <v/>
      </c>
      <c r="I11" s="28" t="str">
        <f t="shared" si="3"/>
        <v/>
      </c>
      <c r="J11" s="28" t="str">
        <f>IF(AR11="","",IF(AA11='Instructions &amp; Reference'!$C$10,Scores!AR11,""))</f>
        <v/>
      </c>
      <c r="K11" s="29" t="str">
        <f t="shared" si="4"/>
        <v/>
      </c>
      <c r="L11" s="29" t="str">
        <f>IF(AR11="","",IF(AA11='Instructions &amp; Reference'!$C$11,Scores!AR11,""))</f>
        <v/>
      </c>
      <c r="M11" s="28" t="str">
        <f t="shared" si="5"/>
        <v/>
      </c>
      <c r="N11" s="28" t="str">
        <f>IF(AR11="","",IF(AA11='Instructions &amp; Reference'!$C$12,Scores!AR11,""))</f>
        <v/>
      </c>
      <c r="O11" s="29" t="str">
        <f t="shared" si="6"/>
        <v/>
      </c>
      <c r="P11" s="29" t="str">
        <f>IF(AR11="","",IF(AA11='Instructions &amp; Reference'!$C$13,Scores!AR11,""))</f>
        <v/>
      </c>
      <c r="Q11" s="28" t="str">
        <f t="shared" si="7"/>
        <v/>
      </c>
      <c r="R11" s="28" t="str">
        <f>IF(AR11="","",IF(AA11='Instructions &amp; Reference'!$C$14,Scores!AR11,""))</f>
        <v/>
      </c>
      <c r="S11" s="29" t="str">
        <f t="shared" si="8"/>
        <v/>
      </c>
      <c r="T11" s="29" t="str">
        <f>IF(AR11="","",IF(AA11='Instructions &amp; Reference'!$C$15,Scores!AR11,""))</f>
        <v/>
      </c>
      <c r="U11" s="28" t="str">
        <f t="shared" si="9"/>
        <v/>
      </c>
      <c r="V11" s="28" t="str">
        <f>IF(AR11="","",IF(AA11='Instructions &amp; Reference'!$C$16,Scores!AR11,""))</f>
        <v/>
      </c>
      <c r="W11" s="29" t="str">
        <f t="shared" si="10"/>
        <v/>
      </c>
      <c r="X11" s="30" t="str">
        <f>IF(AR11="","",IF(AA11='Instructions &amp; Reference'!$C$17,Scores!AR11,""))</f>
        <v/>
      </c>
      <c r="Z11" s="32" t="str">
        <f>IF('Teams &amp; HM'!A10="","",'Teams &amp; HM'!A10)</f>
        <v/>
      </c>
      <c r="AA11" s="126" t="str">
        <f>IF('Teams &amp; HM'!H15="","",'Teams &amp; HM'!H15)</f>
        <v/>
      </c>
      <c r="AB11" s="126" t="str">
        <f>IF('Teams &amp; HM'!A15="","",'Teams &amp; HM'!A15)</f>
        <v/>
      </c>
      <c r="AC11" s="126" t="str">
        <f>IF('Teams &amp; HM'!B15="","",'Teams &amp; HM'!B15)</f>
        <v/>
      </c>
      <c r="AE11" s="126" t="str">
        <f>IF(Ride!V11="","",Ride!X11)</f>
        <v/>
      </c>
      <c r="AF11" s="126" t="str">
        <f>IF(Run!L11="","",Run!L11)</f>
        <v/>
      </c>
      <c r="AG11" s="126" t="str">
        <f>IF(Shoot!J11="","",Shoot!J11)</f>
        <v/>
      </c>
      <c r="AH11" s="126" t="str">
        <f>IF(Swim!K11="","",Swim!K11)</f>
        <v/>
      </c>
      <c r="AI11" s="126" t="str">
        <f t="shared" si="11"/>
        <v/>
      </c>
      <c r="AK11" s="7"/>
      <c r="AL11" s="58" t="str">
        <f t="shared" si="12"/>
        <v/>
      </c>
      <c r="AN11" s="127" t="str">
        <f>IF('Teams &amp; HM'!Q15="","",'Teams &amp; HM'!Q15)</f>
        <v/>
      </c>
      <c r="AO11" s="127" t="str">
        <f>IF('Teams &amp; HM'!R15="","",'Teams &amp; HM'!R15)</f>
        <v/>
      </c>
      <c r="AP11" s="129"/>
      <c r="AR11" s="59" t="str">
        <f t="shared" si="13"/>
        <v/>
      </c>
      <c r="AT11" s="132"/>
      <c r="AU11" s="121"/>
    </row>
    <row r="12" spans="1:47" x14ac:dyDescent="0.25">
      <c r="A12" s="28" t="str">
        <f t="shared" si="0"/>
        <v/>
      </c>
      <c r="B12" s="28" t="str">
        <f>IF(AR12="","",IF(AA12='Instructions &amp; Reference'!$C$6,Scores!AR12,""))</f>
        <v/>
      </c>
      <c r="C12" s="29" t="str">
        <f>IF(D12="","",RANK(D12,$D$3:$D91,0))</f>
        <v/>
      </c>
      <c r="D12" s="29" t="str">
        <f>IF(AR12="","",IF(AA12='Instructions &amp; Reference'!$C$7,Scores!AR12,""))</f>
        <v/>
      </c>
      <c r="E12" s="28" t="str">
        <f t="shared" si="1"/>
        <v/>
      </c>
      <c r="F12" s="28" t="str">
        <f>IF(AR12="","",IF(AA12='Instructions &amp; Reference'!$C$8,Scores!AR12,""))</f>
        <v/>
      </c>
      <c r="G12" s="29" t="str">
        <f t="shared" si="2"/>
        <v/>
      </c>
      <c r="H12" s="29" t="str">
        <f>IF(AR12="","",IF(AA12='Instructions &amp; Reference'!$C$9,Scores!AR12,""))</f>
        <v/>
      </c>
      <c r="I12" s="28" t="str">
        <f t="shared" si="3"/>
        <v/>
      </c>
      <c r="J12" s="28" t="str">
        <f>IF(AR12="","",IF(AA12='Instructions &amp; Reference'!$C$10,Scores!AR12,""))</f>
        <v/>
      </c>
      <c r="K12" s="29" t="str">
        <f t="shared" si="4"/>
        <v/>
      </c>
      <c r="L12" s="29" t="str">
        <f>IF(AR12="","",IF(AA12='Instructions &amp; Reference'!$C$11,Scores!AR12,""))</f>
        <v/>
      </c>
      <c r="M12" s="28" t="str">
        <f t="shared" si="5"/>
        <v/>
      </c>
      <c r="N12" s="28" t="str">
        <f>IF(AR12="","",IF(AA12='Instructions &amp; Reference'!$C$12,Scores!AR12,""))</f>
        <v/>
      </c>
      <c r="O12" s="29" t="str">
        <f t="shared" si="6"/>
        <v/>
      </c>
      <c r="P12" s="29" t="str">
        <f>IF(AR12="","",IF(AA12='Instructions &amp; Reference'!$C$13,Scores!AR12,""))</f>
        <v/>
      </c>
      <c r="Q12" s="28" t="str">
        <f t="shared" si="7"/>
        <v/>
      </c>
      <c r="R12" s="28" t="str">
        <f>IF(AR12="","",IF(AA12='Instructions &amp; Reference'!$C$14,Scores!AR12,""))</f>
        <v/>
      </c>
      <c r="S12" s="29" t="str">
        <f t="shared" si="8"/>
        <v/>
      </c>
      <c r="T12" s="29" t="str">
        <f>IF(AR12="","",IF(AA12='Instructions &amp; Reference'!$C$15,Scores!AR12,""))</f>
        <v/>
      </c>
      <c r="U12" s="28" t="str">
        <f t="shared" si="9"/>
        <v/>
      </c>
      <c r="V12" s="28" t="str">
        <f>IF(AR12="","",IF(AA12='Instructions &amp; Reference'!$C$16,Scores!AR12,""))</f>
        <v/>
      </c>
      <c r="W12" s="29" t="str">
        <f t="shared" si="10"/>
        <v/>
      </c>
      <c r="X12" s="30" t="str">
        <f>IF(AR12="","",IF(AA12='Instructions &amp; Reference'!$C$17,Scores!AR12,""))</f>
        <v/>
      </c>
      <c r="Z12" s="32" t="str">
        <f>IF('Teams &amp; HM'!A10="","",'Teams &amp; HM'!A10)</f>
        <v/>
      </c>
      <c r="AA12" s="126" t="str">
        <f>IF('Teams &amp; HM'!H16="","",'Teams &amp; HM'!H16)</f>
        <v/>
      </c>
      <c r="AB12" s="126" t="str">
        <f>IF('Teams &amp; HM'!A16="","",'Teams &amp; HM'!A16)</f>
        <v/>
      </c>
      <c r="AC12" s="126" t="str">
        <f>IF('Teams &amp; HM'!B16="","",'Teams &amp; HM'!B16)</f>
        <v/>
      </c>
      <c r="AE12" s="126" t="str">
        <f>IF(Ride!V12="","",Ride!X12)</f>
        <v/>
      </c>
      <c r="AF12" s="126" t="str">
        <f>IF(Run!L12="","",Run!L12)</f>
        <v/>
      </c>
      <c r="AG12" s="126" t="str">
        <f>IF(Shoot!J12="","",Shoot!J12)</f>
        <v/>
      </c>
      <c r="AH12" s="126" t="str">
        <f>IF(Swim!K12="","",Swim!K12)</f>
        <v/>
      </c>
      <c r="AI12" s="126" t="str">
        <f t="shared" si="11"/>
        <v/>
      </c>
      <c r="AK12" s="7"/>
      <c r="AL12" s="58" t="str">
        <f t="shared" si="12"/>
        <v/>
      </c>
      <c r="AN12" s="127" t="str">
        <f>IF('Teams &amp; HM'!Q16="","",'Teams &amp; HM'!Q16)</f>
        <v/>
      </c>
      <c r="AO12" s="127" t="str">
        <f>IF('Teams &amp; HM'!R16="","",'Teams &amp; HM'!R16)</f>
        <v/>
      </c>
      <c r="AP12" s="130"/>
      <c r="AR12" s="59" t="str">
        <f t="shared" si="13"/>
        <v/>
      </c>
      <c r="AT12" s="133"/>
      <c r="AU12" s="122"/>
    </row>
    <row r="13" spans="1:47" x14ac:dyDescent="0.25">
      <c r="A13" s="28" t="str">
        <f t="shared" si="0"/>
        <v/>
      </c>
      <c r="B13" s="28" t="str">
        <f>IF(AR13="","",IF(AA13='Instructions &amp; Reference'!$C$6,Scores!AR13,""))</f>
        <v/>
      </c>
      <c r="C13" s="29" t="str">
        <f>IF(D13="","",RANK(D13,$D$3:$D92,0))</f>
        <v/>
      </c>
      <c r="D13" s="29" t="str">
        <f>IF(AR13="","",IF(AA13='Instructions &amp; Reference'!$C$7,Scores!AR13,""))</f>
        <v/>
      </c>
      <c r="E13" s="28" t="str">
        <f t="shared" si="1"/>
        <v/>
      </c>
      <c r="F13" s="28" t="str">
        <f>IF(AR13="","",IF(AA13='Instructions &amp; Reference'!$C$8,Scores!AR13,""))</f>
        <v/>
      </c>
      <c r="G13" s="29" t="str">
        <f t="shared" si="2"/>
        <v/>
      </c>
      <c r="H13" s="29" t="str">
        <f>IF(AR13="","",IF(AA13='Instructions &amp; Reference'!$C$9,Scores!AR13,""))</f>
        <v/>
      </c>
      <c r="I13" s="28" t="str">
        <f t="shared" si="3"/>
        <v/>
      </c>
      <c r="J13" s="28" t="str">
        <f>IF(AR13="","",IF(AA13='Instructions &amp; Reference'!$C$10,Scores!AR13,""))</f>
        <v/>
      </c>
      <c r="K13" s="29" t="str">
        <f t="shared" si="4"/>
        <v/>
      </c>
      <c r="L13" s="29" t="str">
        <f>IF(AR13="","",IF(AA13='Instructions &amp; Reference'!$C$11,Scores!AR13,""))</f>
        <v/>
      </c>
      <c r="M13" s="28" t="str">
        <f t="shared" si="5"/>
        <v/>
      </c>
      <c r="N13" s="28" t="str">
        <f>IF(AR13="","",IF(AA13='Instructions &amp; Reference'!$C$12,Scores!AR13,""))</f>
        <v/>
      </c>
      <c r="O13" s="29" t="str">
        <f t="shared" si="6"/>
        <v/>
      </c>
      <c r="P13" s="29" t="str">
        <f>IF(AR13="","",IF(AA13='Instructions &amp; Reference'!$C$13,Scores!AR13,""))</f>
        <v/>
      </c>
      <c r="Q13" s="28" t="str">
        <f t="shared" si="7"/>
        <v/>
      </c>
      <c r="R13" s="28" t="str">
        <f>IF(AR13="","",IF(AA13='Instructions &amp; Reference'!$C$14,Scores!AR13,""))</f>
        <v/>
      </c>
      <c r="S13" s="29" t="str">
        <f t="shared" si="8"/>
        <v/>
      </c>
      <c r="T13" s="29" t="str">
        <f>IF(AR13="","",IF(AA13='Instructions &amp; Reference'!$C$15,Scores!AR13,""))</f>
        <v/>
      </c>
      <c r="U13" s="28" t="str">
        <f t="shared" si="9"/>
        <v/>
      </c>
      <c r="V13" s="28" t="str">
        <f>IF(AR13="","",IF(AA13='Instructions &amp; Reference'!$C$16,Scores!AR13,""))</f>
        <v/>
      </c>
      <c r="W13" s="29" t="str">
        <f t="shared" si="10"/>
        <v/>
      </c>
      <c r="X13" s="30" t="str">
        <f>IF(AR13="","",IF(AA13='Instructions &amp; Reference'!$C$17,Scores!AR13,""))</f>
        <v/>
      </c>
      <c r="Z13" s="32" t="str">
        <f>IF('Teams &amp; HM'!A18="","",'Teams &amp; HM'!A18)</f>
        <v/>
      </c>
      <c r="AA13" s="126" t="str">
        <f>IF('Teams &amp; HM'!H20="","",'Teams &amp; HM'!H20)</f>
        <v/>
      </c>
      <c r="AB13" s="126" t="str">
        <f>IF('Teams &amp; HM'!A20="","",'Teams &amp; HM'!A20)</f>
        <v/>
      </c>
      <c r="AC13" s="126" t="str">
        <f>IF('Teams &amp; HM'!B20="","",'Teams &amp; HM'!B20)</f>
        <v/>
      </c>
      <c r="AE13" s="126" t="str">
        <f>IF(Ride!V13="","",Ride!X13)</f>
        <v/>
      </c>
      <c r="AF13" s="126" t="str">
        <f>IF(Run!L13="","",Run!L13)</f>
        <v/>
      </c>
      <c r="AG13" s="126" t="str">
        <f>IF(Shoot!J13="","",Shoot!J13)</f>
        <v/>
      </c>
      <c r="AH13" s="126" t="str">
        <f>IF(Swim!K13="","",Swim!K13)</f>
        <v/>
      </c>
      <c r="AI13" s="126" t="str">
        <f t="shared" si="11"/>
        <v/>
      </c>
      <c r="AK13" s="7"/>
      <c r="AL13" s="58" t="str">
        <f t="shared" si="12"/>
        <v/>
      </c>
      <c r="AN13" s="127" t="str">
        <f>IF('Teams &amp; HM'!Q20="","",'Teams &amp; HM'!Q20)</f>
        <v/>
      </c>
      <c r="AO13" s="127" t="str">
        <f>IF('Teams &amp; HM'!R20="","",'Teams &amp; HM'!R20)</f>
        <v/>
      </c>
      <c r="AP13" s="128">
        <f>IF('Teams &amp; HM'!T20="","",'Teams &amp; HM'!T20)</f>
        <v>0</v>
      </c>
      <c r="AR13" s="59" t="str">
        <f t="shared" si="13"/>
        <v/>
      </c>
      <c r="AT13" s="131"/>
      <c r="AU13" s="120" t="str">
        <f>IF(AC13="","",SUM(Ride!Y13+Run!M13+Shoot!K13+Swim!L13+AP13+AT13))</f>
        <v/>
      </c>
    </row>
    <row r="14" spans="1:47" x14ac:dyDescent="0.25">
      <c r="A14" s="28" t="str">
        <f t="shared" si="0"/>
        <v/>
      </c>
      <c r="B14" s="28" t="str">
        <f>IF(AR14="","",IF(AA14='Instructions &amp; Reference'!$C$6,Scores!AR14,""))</f>
        <v/>
      </c>
      <c r="C14" s="29" t="str">
        <f>IF(D14="","",RANK(D14,$D$3:$D93,0))</f>
        <v/>
      </c>
      <c r="D14" s="29" t="str">
        <f>IF(AR14="","",IF(AA14='Instructions &amp; Reference'!$C$7,Scores!AR14,""))</f>
        <v/>
      </c>
      <c r="E14" s="28" t="str">
        <f t="shared" si="1"/>
        <v/>
      </c>
      <c r="F14" s="28" t="str">
        <f>IF(AR14="","",IF(AA14='Instructions &amp; Reference'!$C$8,Scores!AR14,""))</f>
        <v/>
      </c>
      <c r="G14" s="29" t="str">
        <f t="shared" si="2"/>
        <v/>
      </c>
      <c r="H14" s="29" t="str">
        <f>IF(AR14="","",IF(AA14='Instructions &amp; Reference'!$C$9,Scores!AR14,""))</f>
        <v/>
      </c>
      <c r="I14" s="28" t="str">
        <f t="shared" si="3"/>
        <v/>
      </c>
      <c r="J14" s="28" t="str">
        <f>IF(AR14="","",IF(AA14='Instructions &amp; Reference'!$C$10,Scores!AR14,""))</f>
        <v/>
      </c>
      <c r="K14" s="29" t="str">
        <f t="shared" si="4"/>
        <v/>
      </c>
      <c r="L14" s="29" t="str">
        <f>IF(AR14="","",IF(AA14='Instructions &amp; Reference'!$C$11,Scores!AR14,""))</f>
        <v/>
      </c>
      <c r="M14" s="28" t="str">
        <f t="shared" si="5"/>
        <v/>
      </c>
      <c r="N14" s="28" t="str">
        <f>IF(AR14="","",IF(AA14='Instructions &amp; Reference'!$C$12,Scores!AR14,""))</f>
        <v/>
      </c>
      <c r="O14" s="29" t="str">
        <f t="shared" si="6"/>
        <v/>
      </c>
      <c r="P14" s="29" t="str">
        <f>IF(AR14="","",IF(AA14='Instructions &amp; Reference'!$C$13,Scores!AR14,""))</f>
        <v/>
      </c>
      <c r="Q14" s="28" t="str">
        <f t="shared" si="7"/>
        <v/>
      </c>
      <c r="R14" s="28" t="str">
        <f>IF(AR14="","",IF(AA14='Instructions &amp; Reference'!$C$14,Scores!AR14,""))</f>
        <v/>
      </c>
      <c r="S14" s="29" t="str">
        <f t="shared" si="8"/>
        <v/>
      </c>
      <c r="T14" s="29" t="str">
        <f>IF(AR14="","",IF(AA14='Instructions &amp; Reference'!$C$15,Scores!AR14,""))</f>
        <v/>
      </c>
      <c r="U14" s="28" t="str">
        <f t="shared" si="9"/>
        <v/>
      </c>
      <c r="V14" s="28" t="str">
        <f>IF(AR14="","",IF(AA14='Instructions &amp; Reference'!$C$16,Scores!AR14,""))</f>
        <v/>
      </c>
      <c r="W14" s="29" t="str">
        <f t="shared" si="10"/>
        <v/>
      </c>
      <c r="X14" s="30" t="str">
        <f>IF(AR14="","",IF(AA14='Instructions &amp; Reference'!$C$17,Scores!AR14,""))</f>
        <v/>
      </c>
      <c r="Z14" s="32" t="str">
        <f>IF('Teams &amp; HM'!A18="","",'Teams &amp; HM'!A18)</f>
        <v/>
      </c>
      <c r="AA14" s="126" t="str">
        <f>IF('Teams &amp; HM'!H21="","",'Teams &amp; HM'!H21)</f>
        <v/>
      </c>
      <c r="AB14" s="126" t="str">
        <f>IF('Teams &amp; HM'!A21="","",'Teams &amp; HM'!A21)</f>
        <v/>
      </c>
      <c r="AC14" s="126" t="str">
        <f>IF('Teams &amp; HM'!B21="","",'Teams &amp; HM'!B21)</f>
        <v/>
      </c>
      <c r="AE14" s="126" t="str">
        <f>IF(Ride!V14="","",Ride!X14)</f>
        <v/>
      </c>
      <c r="AF14" s="126" t="str">
        <f>IF(Run!L14="","",Run!L14)</f>
        <v/>
      </c>
      <c r="AG14" s="126" t="str">
        <f>IF(Shoot!J14="","",Shoot!J14)</f>
        <v/>
      </c>
      <c r="AH14" s="126" t="str">
        <f>IF(Swim!K14="","",Swim!K14)</f>
        <v/>
      </c>
      <c r="AI14" s="126" t="str">
        <f t="shared" si="11"/>
        <v/>
      </c>
      <c r="AK14" s="7"/>
      <c r="AL14" s="58" t="str">
        <f t="shared" si="12"/>
        <v/>
      </c>
      <c r="AN14" s="127" t="str">
        <f>IF('Teams &amp; HM'!Q21="","",'Teams &amp; HM'!Q21)</f>
        <v/>
      </c>
      <c r="AO14" s="127" t="str">
        <f>IF('Teams &amp; HM'!R21="","",'Teams &amp; HM'!R21)</f>
        <v/>
      </c>
      <c r="AP14" s="129"/>
      <c r="AR14" s="59" t="str">
        <f t="shared" si="13"/>
        <v/>
      </c>
      <c r="AT14" s="132"/>
      <c r="AU14" s="121"/>
    </row>
    <row r="15" spans="1:47" x14ac:dyDescent="0.25">
      <c r="A15" s="28" t="str">
        <f t="shared" si="0"/>
        <v/>
      </c>
      <c r="B15" s="28" t="str">
        <f>IF(AR15="","",IF(AA15='Instructions &amp; Reference'!$C$6,Scores!AR15,""))</f>
        <v/>
      </c>
      <c r="C15" s="29" t="str">
        <f>IF(D15="","",RANK(D15,$D$3:$D94,0))</f>
        <v/>
      </c>
      <c r="D15" s="29" t="str">
        <f>IF(AR15="","",IF(AA15='Instructions &amp; Reference'!$C$7,Scores!AR15,""))</f>
        <v/>
      </c>
      <c r="E15" s="28" t="str">
        <f t="shared" si="1"/>
        <v/>
      </c>
      <c r="F15" s="28" t="str">
        <f>IF(AR15="","",IF(AA15='Instructions &amp; Reference'!$C$8,Scores!AR15,""))</f>
        <v/>
      </c>
      <c r="G15" s="29" t="str">
        <f t="shared" si="2"/>
        <v/>
      </c>
      <c r="H15" s="29" t="str">
        <f>IF(AR15="","",IF(AA15='Instructions &amp; Reference'!$C$9,Scores!AR15,""))</f>
        <v/>
      </c>
      <c r="I15" s="28" t="str">
        <f t="shared" si="3"/>
        <v/>
      </c>
      <c r="J15" s="28" t="str">
        <f>IF(AR15="","",IF(AA15='Instructions &amp; Reference'!$C$10,Scores!AR15,""))</f>
        <v/>
      </c>
      <c r="K15" s="29" t="str">
        <f t="shared" si="4"/>
        <v/>
      </c>
      <c r="L15" s="29" t="str">
        <f>IF(AR15="","",IF(AA15='Instructions &amp; Reference'!$C$11,Scores!AR15,""))</f>
        <v/>
      </c>
      <c r="M15" s="28" t="str">
        <f t="shared" si="5"/>
        <v/>
      </c>
      <c r="N15" s="28" t="str">
        <f>IF(AR15="","",IF(AA15='Instructions &amp; Reference'!$C$12,Scores!AR15,""))</f>
        <v/>
      </c>
      <c r="O15" s="29" t="str">
        <f t="shared" si="6"/>
        <v/>
      </c>
      <c r="P15" s="29" t="str">
        <f>IF(AR15="","",IF(AA15='Instructions &amp; Reference'!$C$13,Scores!AR15,""))</f>
        <v/>
      </c>
      <c r="Q15" s="28" t="str">
        <f t="shared" si="7"/>
        <v/>
      </c>
      <c r="R15" s="28" t="str">
        <f>IF(AR15="","",IF(AA15='Instructions &amp; Reference'!$C$14,Scores!AR15,""))</f>
        <v/>
      </c>
      <c r="S15" s="29" t="str">
        <f t="shared" si="8"/>
        <v/>
      </c>
      <c r="T15" s="29" t="str">
        <f>IF(AR15="","",IF(AA15='Instructions &amp; Reference'!$C$15,Scores!AR15,""))</f>
        <v/>
      </c>
      <c r="U15" s="28" t="str">
        <f t="shared" si="9"/>
        <v/>
      </c>
      <c r="V15" s="28" t="str">
        <f>IF(AR15="","",IF(AA15='Instructions &amp; Reference'!$C$16,Scores!AR15,""))</f>
        <v/>
      </c>
      <c r="W15" s="29" t="str">
        <f t="shared" si="10"/>
        <v/>
      </c>
      <c r="X15" s="30" t="str">
        <f>IF(AR15="","",IF(AA15='Instructions &amp; Reference'!$C$17,Scores!AR15,""))</f>
        <v/>
      </c>
      <c r="Z15" s="32" t="str">
        <f>IF('Teams &amp; HM'!A18="","",'Teams &amp; HM'!A18)</f>
        <v/>
      </c>
      <c r="AA15" s="126" t="str">
        <f>IF('Teams &amp; HM'!H22="","",'Teams &amp; HM'!H22)</f>
        <v/>
      </c>
      <c r="AB15" s="126" t="str">
        <f>IF('Teams &amp; HM'!A22="","",'Teams &amp; HM'!A22)</f>
        <v/>
      </c>
      <c r="AC15" s="126" t="str">
        <f>IF('Teams &amp; HM'!B22="","",'Teams &amp; HM'!B22)</f>
        <v/>
      </c>
      <c r="AE15" s="126" t="str">
        <f>IF(Ride!V15="","",Ride!X15)</f>
        <v/>
      </c>
      <c r="AF15" s="126" t="str">
        <f>IF(Run!L15="","",Run!L15)</f>
        <v/>
      </c>
      <c r="AG15" s="126" t="str">
        <f>IF(Shoot!J15="","",Shoot!J15)</f>
        <v/>
      </c>
      <c r="AH15" s="126" t="str">
        <f>IF(Swim!K15="","",Swim!K15)</f>
        <v/>
      </c>
      <c r="AI15" s="126" t="str">
        <f t="shared" si="11"/>
        <v/>
      </c>
      <c r="AK15" s="7"/>
      <c r="AL15" s="58" t="str">
        <f t="shared" si="12"/>
        <v/>
      </c>
      <c r="AN15" s="127" t="str">
        <f>IF('Teams &amp; HM'!Q22="","",'Teams &amp; HM'!Q22)</f>
        <v/>
      </c>
      <c r="AO15" s="127" t="str">
        <f>IF('Teams &amp; HM'!R22="","",'Teams &amp; HM'!R22)</f>
        <v/>
      </c>
      <c r="AP15" s="129"/>
      <c r="AR15" s="59" t="str">
        <f t="shared" si="13"/>
        <v/>
      </c>
      <c r="AT15" s="132"/>
      <c r="AU15" s="121"/>
    </row>
    <row r="16" spans="1:47" x14ac:dyDescent="0.25">
      <c r="A16" s="28" t="str">
        <f t="shared" si="0"/>
        <v/>
      </c>
      <c r="B16" s="28" t="str">
        <f>IF(AR16="","",IF(AA16='Instructions &amp; Reference'!$C$6,Scores!AR16,""))</f>
        <v/>
      </c>
      <c r="C16" s="29" t="str">
        <f>IF(D16="","",RANK(D16,$D$3:$D95,0))</f>
        <v/>
      </c>
      <c r="D16" s="29" t="str">
        <f>IF(AR16="","",IF(AA16='Instructions &amp; Reference'!$C$7,Scores!AR16,""))</f>
        <v/>
      </c>
      <c r="E16" s="28" t="str">
        <f t="shared" si="1"/>
        <v/>
      </c>
      <c r="F16" s="28" t="str">
        <f>IF(AR16="","",IF(AA16='Instructions &amp; Reference'!$C$8,Scores!AR16,""))</f>
        <v/>
      </c>
      <c r="G16" s="29" t="str">
        <f t="shared" si="2"/>
        <v/>
      </c>
      <c r="H16" s="29" t="str">
        <f>IF(AR16="","",IF(AA16='Instructions &amp; Reference'!$C$9,Scores!AR16,""))</f>
        <v/>
      </c>
      <c r="I16" s="28" t="str">
        <f t="shared" si="3"/>
        <v/>
      </c>
      <c r="J16" s="28" t="str">
        <f>IF(AR16="","",IF(AA16='Instructions &amp; Reference'!$C$10,Scores!AR16,""))</f>
        <v/>
      </c>
      <c r="K16" s="29" t="str">
        <f t="shared" si="4"/>
        <v/>
      </c>
      <c r="L16" s="29" t="str">
        <f>IF(AR16="","",IF(AA16='Instructions &amp; Reference'!$C$11,Scores!AR16,""))</f>
        <v/>
      </c>
      <c r="M16" s="28" t="str">
        <f t="shared" si="5"/>
        <v/>
      </c>
      <c r="N16" s="28" t="str">
        <f>IF(AR16="","",IF(AA16='Instructions &amp; Reference'!$C$12,Scores!AR16,""))</f>
        <v/>
      </c>
      <c r="O16" s="29" t="str">
        <f t="shared" si="6"/>
        <v/>
      </c>
      <c r="P16" s="29" t="str">
        <f>IF(AR16="","",IF(AA16='Instructions &amp; Reference'!$C$13,Scores!AR16,""))</f>
        <v/>
      </c>
      <c r="Q16" s="28" t="str">
        <f t="shared" si="7"/>
        <v/>
      </c>
      <c r="R16" s="28" t="str">
        <f>IF(AR16="","",IF(AA16='Instructions &amp; Reference'!$C$14,Scores!AR16,""))</f>
        <v/>
      </c>
      <c r="S16" s="29" t="str">
        <f t="shared" si="8"/>
        <v/>
      </c>
      <c r="T16" s="29" t="str">
        <f>IF(AR16="","",IF(AA16='Instructions &amp; Reference'!$C$15,Scores!AR16,""))</f>
        <v/>
      </c>
      <c r="U16" s="28" t="str">
        <f t="shared" si="9"/>
        <v/>
      </c>
      <c r="V16" s="28" t="str">
        <f>IF(AR16="","",IF(AA16='Instructions &amp; Reference'!$C$16,Scores!AR16,""))</f>
        <v/>
      </c>
      <c r="W16" s="29" t="str">
        <f t="shared" si="10"/>
        <v/>
      </c>
      <c r="X16" s="30" t="str">
        <f>IF(AR16="","",IF(AA16='Instructions &amp; Reference'!$C$17,Scores!AR16,""))</f>
        <v/>
      </c>
      <c r="Z16" s="32" t="str">
        <f>IF('Teams &amp; HM'!A18="","",'Teams &amp; HM'!A18)</f>
        <v/>
      </c>
      <c r="AA16" s="126" t="str">
        <f>IF('Teams &amp; HM'!H23="","",'Teams &amp; HM'!H23)</f>
        <v/>
      </c>
      <c r="AB16" s="126" t="str">
        <f>IF('Teams &amp; HM'!A23="","",'Teams &amp; HM'!A23)</f>
        <v/>
      </c>
      <c r="AC16" s="126" t="str">
        <f>IF('Teams &amp; HM'!B23="","",'Teams &amp; HM'!B23)</f>
        <v/>
      </c>
      <c r="AE16" s="126" t="str">
        <f>IF(Ride!V16="","",Ride!X16)</f>
        <v/>
      </c>
      <c r="AF16" s="126" t="str">
        <f>IF(Run!L16="","",Run!L16)</f>
        <v/>
      </c>
      <c r="AG16" s="126" t="str">
        <f>IF(Shoot!J16="","",Shoot!J16)</f>
        <v/>
      </c>
      <c r="AH16" s="126" t="str">
        <f>IF(Swim!K16="","",Swim!K16)</f>
        <v/>
      </c>
      <c r="AI16" s="126" t="str">
        <f t="shared" si="11"/>
        <v/>
      </c>
      <c r="AK16" s="7"/>
      <c r="AL16" s="58" t="str">
        <f t="shared" si="12"/>
        <v/>
      </c>
      <c r="AN16" s="127" t="str">
        <f>IF('Teams &amp; HM'!Q23="","",'Teams &amp; HM'!Q23)</f>
        <v/>
      </c>
      <c r="AO16" s="127" t="str">
        <f>IF('Teams &amp; HM'!R23="","",'Teams &amp; HM'!R23)</f>
        <v/>
      </c>
      <c r="AP16" s="129"/>
      <c r="AR16" s="59" t="str">
        <f t="shared" si="13"/>
        <v/>
      </c>
      <c r="AT16" s="132"/>
      <c r="AU16" s="121"/>
    </row>
    <row r="17" spans="1:47" x14ac:dyDescent="0.25">
      <c r="A17" s="28" t="str">
        <f t="shared" si="0"/>
        <v/>
      </c>
      <c r="B17" s="28" t="str">
        <f>IF(AR17="","",IF(AA17='Instructions &amp; Reference'!$C$6,Scores!AR17,""))</f>
        <v/>
      </c>
      <c r="C17" s="29" t="str">
        <f>IF(D17="","",RANK(D17,$D$3:$D96,0))</f>
        <v/>
      </c>
      <c r="D17" s="29" t="str">
        <f>IF(AR17="","",IF(AA17='Instructions &amp; Reference'!$C$7,Scores!AR17,""))</f>
        <v/>
      </c>
      <c r="E17" s="28" t="str">
        <f t="shared" si="1"/>
        <v/>
      </c>
      <c r="F17" s="28" t="str">
        <f>IF(AR17="","",IF(AA17='Instructions &amp; Reference'!$C$8,Scores!AR17,""))</f>
        <v/>
      </c>
      <c r="G17" s="29" t="str">
        <f t="shared" si="2"/>
        <v/>
      </c>
      <c r="H17" s="29" t="str">
        <f>IF(AR17="","",IF(AA17='Instructions &amp; Reference'!$C$9,Scores!AR17,""))</f>
        <v/>
      </c>
      <c r="I17" s="28" t="str">
        <f t="shared" si="3"/>
        <v/>
      </c>
      <c r="J17" s="28" t="str">
        <f>IF(AR17="","",IF(AA17='Instructions &amp; Reference'!$C$10,Scores!AR17,""))</f>
        <v/>
      </c>
      <c r="K17" s="29" t="str">
        <f t="shared" si="4"/>
        <v/>
      </c>
      <c r="L17" s="29" t="str">
        <f>IF(AR17="","",IF(AA17='Instructions &amp; Reference'!$C$11,Scores!AR17,""))</f>
        <v/>
      </c>
      <c r="M17" s="28" t="str">
        <f t="shared" si="5"/>
        <v/>
      </c>
      <c r="N17" s="28" t="str">
        <f>IF(AR17="","",IF(AA17='Instructions &amp; Reference'!$C$12,Scores!AR17,""))</f>
        <v/>
      </c>
      <c r="O17" s="29" t="str">
        <f t="shared" si="6"/>
        <v/>
      </c>
      <c r="P17" s="29" t="str">
        <f>IF(AR17="","",IF(AA17='Instructions &amp; Reference'!$C$13,Scores!AR17,""))</f>
        <v/>
      </c>
      <c r="Q17" s="28" t="str">
        <f t="shared" si="7"/>
        <v/>
      </c>
      <c r="R17" s="28" t="str">
        <f>IF(AR17="","",IF(AA17='Instructions &amp; Reference'!$C$14,Scores!AR17,""))</f>
        <v/>
      </c>
      <c r="S17" s="29" t="str">
        <f t="shared" si="8"/>
        <v/>
      </c>
      <c r="T17" s="29" t="str">
        <f>IF(AR17="","",IF(AA17='Instructions &amp; Reference'!$C$15,Scores!AR17,""))</f>
        <v/>
      </c>
      <c r="U17" s="28" t="str">
        <f t="shared" si="9"/>
        <v/>
      </c>
      <c r="V17" s="28" t="str">
        <f>IF(AR17="","",IF(AA17='Instructions &amp; Reference'!$C$16,Scores!AR17,""))</f>
        <v/>
      </c>
      <c r="W17" s="29" t="str">
        <f t="shared" si="10"/>
        <v/>
      </c>
      <c r="X17" s="30" t="str">
        <f>IF(AR17="","",IF(AA17='Instructions &amp; Reference'!$C$17,Scores!AR17,""))</f>
        <v/>
      </c>
      <c r="Z17" s="32" t="str">
        <f>IF('Teams &amp; HM'!A18="","",'Teams &amp; HM'!A18)</f>
        <v/>
      </c>
      <c r="AA17" s="126" t="str">
        <f>IF('Teams &amp; HM'!H24="","",'Teams &amp; HM'!H24)</f>
        <v/>
      </c>
      <c r="AB17" s="126" t="str">
        <f>IF('Teams &amp; HM'!A24="","",'Teams &amp; HM'!A24)</f>
        <v/>
      </c>
      <c r="AC17" s="126" t="str">
        <f>IF('Teams &amp; HM'!B24="","",'Teams &amp; HM'!B24)</f>
        <v/>
      </c>
      <c r="AE17" s="126" t="str">
        <f>IF(Ride!V17="","",Ride!X17)</f>
        <v/>
      </c>
      <c r="AF17" s="126" t="str">
        <f>IF(Run!L17="","",Run!L17)</f>
        <v/>
      </c>
      <c r="AG17" s="126" t="str">
        <f>IF(Shoot!J17="","",Shoot!J17)</f>
        <v/>
      </c>
      <c r="AH17" s="126" t="str">
        <f>IF(Swim!K17="","",Swim!K17)</f>
        <v/>
      </c>
      <c r="AI17" s="126" t="str">
        <f t="shared" si="11"/>
        <v/>
      </c>
      <c r="AK17" s="7"/>
      <c r="AL17" s="58" t="str">
        <f t="shared" si="12"/>
        <v/>
      </c>
      <c r="AN17" s="127" t="str">
        <f>IF('Teams &amp; HM'!Q24="","",'Teams &amp; HM'!Q24)</f>
        <v/>
      </c>
      <c r="AO17" s="127" t="str">
        <f>IF('Teams &amp; HM'!R24="","",'Teams &amp; HM'!R24)</f>
        <v/>
      </c>
      <c r="AP17" s="130"/>
      <c r="AR17" s="59" t="str">
        <f t="shared" si="13"/>
        <v/>
      </c>
      <c r="AT17" s="133"/>
      <c r="AU17" s="122"/>
    </row>
    <row r="18" spans="1:47" x14ac:dyDescent="0.25">
      <c r="A18" s="28" t="str">
        <f t="shared" si="0"/>
        <v/>
      </c>
      <c r="B18" s="28" t="str">
        <f>IF(AR18="","",IF(AA18='Instructions &amp; Reference'!$C$6,Scores!AR18,""))</f>
        <v/>
      </c>
      <c r="C18" s="29" t="str">
        <f>IF(D18="","",RANK(D18,$D$3:$D97,0))</f>
        <v/>
      </c>
      <c r="D18" s="29" t="str">
        <f>IF(AR18="","",IF(AA18='Instructions &amp; Reference'!$C$7,Scores!AR18,""))</f>
        <v/>
      </c>
      <c r="E18" s="28" t="str">
        <f t="shared" si="1"/>
        <v/>
      </c>
      <c r="F18" s="28" t="str">
        <f>IF(AR18="","",IF(AA18='Instructions &amp; Reference'!$C$8,Scores!AR18,""))</f>
        <v/>
      </c>
      <c r="G18" s="29" t="str">
        <f t="shared" si="2"/>
        <v/>
      </c>
      <c r="H18" s="29" t="str">
        <f>IF(AR18="","",IF(AA18='Instructions &amp; Reference'!$C$9,Scores!AR18,""))</f>
        <v/>
      </c>
      <c r="I18" s="28" t="str">
        <f t="shared" si="3"/>
        <v/>
      </c>
      <c r="J18" s="28" t="str">
        <f>IF(AR18="","",IF(AA18='Instructions &amp; Reference'!$C$10,Scores!AR18,""))</f>
        <v/>
      </c>
      <c r="K18" s="29" t="str">
        <f t="shared" si="4"/>
        <v/>
      </c>
      <c r="L18" s="29" t="str">
        <f>IF(AR18="","",IF(AA18='Instructions &amp; Reference'!$C$11,Scores!AR18,""))</f>
        <v/>
      </c>
      <c r="M18" s="28" t="str">
        <f t="shared" si="5"/>
        <v/>
      </c>
      <c r="N18" s="28" t="str">
        <f>IF(AR18="","",IF(AA18='Instructions &amp; Reference'!$C$12,Scores!AR18,""))</f>
        <v/>
      </c>
      <c r="O18" s="29" t="str">
        <f t="shared" si="6"/>
        <v/>
      </c>
      <c r="P18" s="29" t="str">
        <f>IF(AR18="","",IF(AA18='Instructions &amp; Reference'!$C$13,Scores!AR18,""))</f>
        <v/>
      </c>
      <c r="Q18" s="28" t="str">
        <f t="shared" si="7"/>
        <v/>
      </c>
      <c r="R18" s="28" t="str">
        <f>IF(AR18="","",IF(AA18='Instructions &amp; Reference'!$C$14,Scores!AR18,""))</f>
        <v/>
      </c>
      <c r="S18" s="29" t="str">
        <f t="shared" si="8"/>
        <v/>
      </c>
      <c r="T18" s="29" t="str">
        <f>IF(AR18="","",IF(AA18='Instructions &amp; Reference'!$C$15,Scores!AR18,""))</f>
        <v/>
      </c>
      <c r="U18" s="28" t="str">
        <f t="shared" si="9"/>
        <v/>
      </c>
      <c r="V18" s="28" t="str">
        <f>IF(AR18="","",IF(AA18='Instructions &amp; Reference'!$C$16,Scores!AR18,""))</f>
        <v/>
      </c>
      <c r="W18" s="29" t="str">
        <f t="shared" si="10"/>
        <v/>
      </c>
      <c r="X18" s="30" t="str">
        <f>IF(AR18="","",IF(AA18='Instructions &amp; Reference'!$C$17,Scores!AR18,""))</f>
        <v/>
      </c>
      <c r="Z18" s="32" t="str">
        <f>IF('Teams &amp; HM'!A26="","",'Teams &amp; HM'!A26)</f>
        <v/>
      </c>
      <c r="AA18" s="126" t="str">
        <f>IF('Teams &amp; HM'!H28="","",'Teams &amp; HM'!H28)</f>
        <v/>
      </c>
      <c r="AB18" s="126" t="str">
        <f>IF('Teams &amp; HM'!A28="","",'Teams &amp; HM'!A28)</f>
        <v/>
      </c>
      <c r="AC18" s="126" t="str">
        <f>IF('Teams &amp; HM'!B28="","",'Teams &amp; HM'!B28)</f>
        <v/>
      </c>
      <c r="AE18" s="126" t="str">
        <f>IF(Ride!V18="","",Ride!X18)</f>
        <v/>
      </c>
      <c r="AF18" s="126" t="str">
        <f>IF(Run!L18="","",Run!L18)</f>
        <v/>
      </c>
      <c r="AG18" s="126" t="str">
        <f>IF(Shoot!J18="","",Shoot!J18)</f>
        <v/>
      </c>
      <c r="AH18" s="126" t="str">
        <f>IF(Swim!K18="","",Swim!K18)</f>
        <v/>
      </c>
      <c r="AI18" s="126" t="str">
        <f t="shared" si="11"/>
        <v/>
      </c>
      <c r="AK18" s="7"/>
      <c r="AL18" s="58" t="str">
        <f t="shared" si="12"/>
        <v/>
      </c>
      <c r="AN18" s="127" t="str">
        <f>IF('Teams &amp; HM'!Q28="","",'Teams &amp; HM'!Q28)</f>
        <v/>
      </c>
      <c r="AO18" s="127" t="str">
        <f>IF('Teams &amp; HM'!R28="","",'Teams &amp; HM'!R28)</f>
        <v/>
      </c>
      <c r="AP18" s="128">
        <f>IF('Teams &amp; HM'!T28="","",'Teams &amp; HM'!T28)</f>
        <v>0</v>
      </c>
      <c r="AR18" s="59" t="str">
        <f t="shared" si="13"/>
        <v/>
      </c>
      <c r="AT18" s="131"/>
      <c r="AU18" s="120" t="str">
        <f>IF(AC18="","",SUM(Ride!Y18+Run!M18+Shoot!K18+Swim!L18+AP18+AT18))</f>
        <v/>
      </c>
    </row>
    <row r="19" spans="1:47" x14ac:dyDescent="0.25">
      <c r="A19" s="28" t="str">
        <f t="shared" si="0"/>
        <v/>
      </c>
      <c r="B19" s="28" t="str">
        <f>IF(AR19="","",IF(AA19='Instructions &amp; Reference'!$C$6,Scores!AR19,""))</f>
        <v/>
      </c>
      <c r="C19" s="29" t="str">
        <f>IF(D19="","",RANK(D19,$D$3:$D98,0))</f>
        <v/>
      </c>
      <c r="D19" s="29" t="str">
        <f>IF(AR19="","",IF(AA19='Instructions &amp; Reference'!$C$7,Scores!AR19,""))</f>
        <v/>
      </c>
      <c r="E19" s="28" t="str">
        <f t="shared" si="1"/>
        <v/>
      </c>
      <c r="F19" s="28" t="str">
        <f>IF(AR19="","",IF(AA19='Instructions &amp; Reference'!$C$8,Scores!AR19,""))</f>
        <v/>
      </c>
      <c r="G19" s="29" t="str">
        <f t="shared" si="2"/>
        <v/>
      </c>
      <c r="H19" s="29" t="str">
        <f>IF(AR19="","",IF(AA19='Instructions &amp; Reference'!$C$9,Scores!AR19,""))</f>
        <v/>
      </c>
      <c r="I19" s="28" t="str">
        <f t="shared" si="3"/>
        <v/>
      </c>
      <c r="J19" s="28" t="str">
        <f>IF(AR19="","",IF(AA19='Instructions &amp; Reference'!$C$10,Scores!AR19,""))</f>
        <v/>
      </c>
      <c r="K19" s="29" t="str">
        <f t="shared" si="4"/>
        <v/>
      </c>
      <c r="L19" s="29" t="str">
        <f>IF(AR19="","",IF(AA19='Instructions &amp; Reference'!$C$11,Scores!AR19,""))</f>
        <v/>
      </c>
      <c r="M19" s="28" t="str">
        <f t="shared" si="5"/>
        <v/>
      </c>
      <c r="N19" s="28" t="str">
        <f>IF(AR19="","",IF(AA19='Instructions &amp; Reference'!$C$12,Scores!AR19,""))</f>
        <v/>
      </c>
      <c r="O19" s="29" t="str">
        <f t="shared" si="6"/>
        <v/>
      </c>
      <c r="P19" s="29" t="str">
        <f>IF(AR19="","",IF(AA19='Instructions &amp; Reference'!$C$13,Scores!AR19,""))</f>
        <v/>
      </c>
      <c r="Q19" s="28" t="str">
        <f t="shared" si="7"/>
        <v/>
      </c>
      <c r="R19" s="28" t="str">
        <f>IF(AR19="","",IF(AA19='Instructions &amp; Reference'!$C$14,Scores!AR19,""))</f>
        <v/>
      </c>
      <c r="S19" s="29" t="str">
        <f t="shared" si="8"/>
        <v/>
      </c>
      <c r="T19" s="29" t="str">
        <f>IF(AR19="","",IF(AA19='Instructions &amp; Reference'!$C$15,Scores!AR19,""))</f>
        <v/>
      </c>
      <c r="U19" s="28" t="str">
        <f t="shared" si="9"/>
        <v/>
      </c>
      <c r="V19" s="28" t="str">
        <f>IF(AR19="","",IF(AA19='Instructions &amp; Reference'!$C$16,Scores!AR19,""))</f>
        <v/>
      </c>
      <c r="W19" s="29" t="str">
        <f t="shared" si="10"/>
        <v/>
      </c>
      <c r="X19" s="30" t="str">
        <f>IF(AR19="","",IF(AA19='Instructions &amp; Reference'!$C$17,Scores!AR19,""))</f>
        <v/>
      </c>
      <c r="Z19" s="32" t="str">
        <f>IF('Teams &amp; HM'!A26="","",'Teams &amp; HM'!A26)</f>
        <v/>
      </c>
      <c r="AA19" s="126" t="str">
        <f>IF('Teams &amp; HM'!H29="","",'Teams &amp; HM'!H29)</f>
        <v/>
      </c>
      <c r="AB19" s="126" t="str">
        <f>IF('Teams &amp; HM'!A29="","",'Teams &amp; HM'!A29)</f>
        <v/>
      </c>
      <c r="AC19" s="126" t="str">
        <f>IF('Teams &amp; HM'!B29="","",'Teams &amp; HM'!B29)</f>
        <v/>
      </c>
      <c r="AE19" s="126" t="str">
        <f>IF(Ride!V19="","",Ride!X19)</f>
        <v/>
      </c>
      <c r="AF19" s="126" t="str">
        <f>IF(Run!L19="","",Run!L19)</f>
        <v/>
      </c>
      <c r="AG19" s="126" t="str">
        <f>IF(Shoot!J19="","",Shoot!J19)</f>
        <v/>
      </c>
      <c r="AH19" s="126" t="str">
        <f>IF(Swim!K19="","",Swim!K19)</f>
        <v/>
      </c>
      <c r="AI19" s="126" t="str">
        <f t="shared" si="11"/>
        <v/>
      </c>
      <c r="AK19" s="7"/>
      <c r="AL19" s="58" t="str">
        <f t="shared" si="12"/>
        <v/>
      </c>
      <c r="AN19" s="127" t="str">
        <f>IF('Teams &amp; HM'!Q29="","",'Teams &amp; HM'!Q29)</f>
        <v/>
      </c>
      <c r="AO19" s="127" t="str">
        <f>IF('Teams &amp; HM'!R29="","",'Teams &amp; HM'!R29)</f>
        <v/>
      </c>
      <c r="AP19" s="129"/>
      <c r="AR19" s="59" t="str">
        <f t="shared" si="13"/>
        <v/>
      </c>
      <c r="AT19" s="132"/>
      <c r="AU19" s="121"/>
    </row>
    <row r="20" spans="1:47" x14ac:dyDescent="0.25">
      <c r="A20" s="28" t="str">
        <f t="shared" si="0"/>
        <v/>
      </c>
      <c r="B20" s="28" t="str">
        <f>IF(AR20="","",IF(AA20='Instructions &amp; Reference'!$C$6,Scores!AR20,""))</f>
        <v/>
      </c>
      <c r="C20" s="29" t="str">
        <f>IF(D20="","",RANK(D20,$D$3:$D99,0))</f>
        <v/>
      </c>
      <c r="D20" s="29" t="str">
        <f>IF(AR20="","",IF(AA20='Instructions &amp; Reference'!$C$7,Scores!AR20,""))</f>
        <v/>
      </c>
      <c r="E20" s="28" t="str">
        <f t="shared" si="1"/>
        <v/>
      </c>
      <c r="F20" s="28" t="str">
        <f>IF(AR20="","",IF(AA20='Instructions &amp; Reference'!$C$8,Scores!AR20,""))</f>
        <v/>
      </c>
      <c r="G20" s="29" t="str">
        <f t="shared" si="2"/>
        <v/>
      </c>
      <c r="H20" s="29" t="str">
        <f>IF(AR20="","",IF(AA20='Instructions &amp; Reference'!$C$9,Scores!AR20,""))</f>
        <v/>
      </c>
      <c r="I20" s="28" t="str">
        <f t="shared" si="3"/>
        <v/>
      </c>
      <c r="J20" s="28" t="str">
        <f>IF(AR20="","",IF(AA20='Instructions &amp; Reference'!$C$10,Scores!AR20,""))</f>
        <v/>
      </c>
      <c r="K20" s="29" t="str">
        <f t="shared" si="4"/>
        <v/>
      </c>
      <c r="L20" s="29" t="str">
        <f>IF(AR20="","",IF(AA20='Instructions &amp; Reference'!$C$11,Scores!AR20,""))</f>
        <v/>
      </c>
      <c r="M20" s="28" t="str">
        <f t="shared" si="5"/>
        <v/>
      </c>
      <c r="N20" s="28" t="str">
        <f>IF(AR20="","",IF(AA20='Instructions &amp; Reference'!$C$12,Scores!AR20,""))</f>
        <v/>
      </c>
      <c r="O20" s="29" t="str">
        <f t="shared" si="6"/>
        <v/>
      </c>
      <c r="P20" s="29" t="str">
        <f>IF(AR20="","",IF(AA20='Instructions &amp; Reference'!$C$13,Scores!AR20,""))</f>
        <v/>
      </c>
      <c r="Q20" s="28" t="str">
        <f t="shared" si="7"/>
        <v/>
      </c>
      <c r="R20" s="28" t="str">
        <f>IF(AR20="","",IF(AA20='Instructions &amp; Reference'!$C$14,Scores!AR20,""))</f>
        <v/>
      </c>
      <c r="S20" s="29" t="str">
        <f t="shared" si="8"/>
        <v/>
      </c>
      <c r="T20" s="29" t="str">
        <f>IF(AR20="","",IF(AA20='Instructions &amp; Reference'!$C$15,Scores!AR20,""))</f>
        <v/>
      </c>
      <c r="U20" s="28" t="str">
        <f t="shared" si="9"/>
        <v/>
      </c>
      <c r="V20" s="28" t="str">
        <f>IF(AR20="","",IF(AA20='Instructions &amp; Reference'!$C$16,Scores!AR20,""))</f>
        <v/>
      </c>
      <c r="W20" s="29" t="str">
        <f t="shared" si="10"/>
        <v/>
      </c>
      <c r="X20" s="30" t="str">
        <f>IF(AR20="","",IF(AA20='Instructions &amp; Reference'!$C$17,Scores!AR20,""))</f>
        <v/>
      </c>
      <c r="Z20" s="32" t="str">
        <f>IF('Teams &amp; HM'!A26="","",'Teams &amp; HM'!A26)</f>
        <v/>
      </c>
      <c r="AA20" s="126" t="str">
        <f>IF('Teams &amp; HM'!H30="","",'Teams &amp; HM'!H30)</f>
        <v/>
      </c>
      <c r="AB20" s="126" t="str">
        <f>IF('Teams &amp; HM'!A30="","",'Teams &amp; HM'!A30)</f>
        <v/>
      </c>
      <c r="AC20" s="126" t="str">
        <f>IF('Teams &amp; HM'!B30="","",'Teams &amp; HM'!B30)</f>
        <v/>
      </c>
      <c r="AE20" s="126" t="str">
        <f>IF(Ride!V20="","",Ride!X20)</f>
        <v/>
      </c>
      <c r="AF20" s="126" t="str">
        <f>IF(Run!L20="","",Run!L20)</f>
        <v/>
      </c>
      <c r="AG20" s="126" t="str">
        <f>IF(Shoot!J20="","",Shoot!J20)</f>
        <v/>
      </c>
      <c r="AH20" s="126" t="str">
        <f>IF(Swim!K20="","",Swim!K20)</f>
        <v/>
      </c>
      <c r="AI20" s="126" t="str">
        <f t="shared" si="11"/>
        <v/>
      </c>
      <c r="AK20" s="7"/>
      <c r="AL20" s="58" t="str">
        <f t="shared" si="12"/>
        <v/>
      </c>
      <c r="AN20" s="127" t="str">
        <f>IF('Teams &amp; HM'!Q30="","",'Teams &amp; HM'!Q30)</f>
        <v/>
      </c>
      <c r="AO20" s="127" t="str">
        <f>IF('Teams &amp; HM'!R30="","",'Teams &amp; HM'!R30)</f>
        <v/>
      </c>
      <c r="AP20" s="129"/>
      <c r="AR20" s="59" t="str">
        <f t="shared" si="13"/>
        <v/>
      </c>
      <c r="AT20" s="132"/>
      <c r="AU20" s="121"/>
    </row>
    <row r="21" spans="1:47" x14ac:dyDescent="0.25">
      <c r="A21" s="28" t="str">
        <f t="shared" si="0"/>
        <v/>
      </c>
      <c r="B21" s="28" t="str">
        <f>IF(AR21="","",IF(AA21='Instructions &amp; Reference'!$C$6,Scores!AR21,""))</f>
        <v/>
      </c>
      <c r="C21" s="29" t="str">
        <f>IF(D21="","",RANK(D21,$D$3:$D100,0))</f>
        <v/>
      </c>
      <c r="D21" s="29" t="str">
        <f>IF(AR21="","",IF(AA21='Instructions &amp; Reference'!$C$7,Scores!AR21,""))</f>
        <v/>
      </c>
      <c r="E21" s="28" t="str">
        <f t="shared" si="1"/>
        <v/>
      </c>
      <c r="F21" s="28" t="str">
        <f>IF(AR21="","",IF(AA21='Instructions &amp; Reference'!$C$8,Scores!AR21,""))</f>
        <v/>
      </c>
      <c r="G21" s="29" t="str">
        <f t="shared" si="2"/>
        <v/>
      </c>
      <c r="H21" s="29" t="str">
        <f>IF(AR21="","",IF(AA21='Instructions &amp; Reference'!$C$9,Scores!AR21,""))</f>
        <v/>
      </c>
      <c r="I21" s="28" t="str">
        <f t="shared" si="3"/>
        <v/>
      </c>
      <c r="J21" s="28" t="str">
        <f>IF(AR21="","",IF(AA21='Instructions &amp; Reference'!$C$10,Scores!AR21,""))</f>
        <v/>
      </c>
      <c r="K21" s="29" t="str">
        <f t="shared" si="4"/>
        <v/>
      </c>
      <c r="L21" s="29" t="str">
        <f>IF(AR21="","",IF(AA21='Instructions &amp; Reference'!$C$11,Scores!AR21,""))</f>
        <v/>
      </c>
      <c r="M21" s="28" t="str">
        <f t="shared" si="5"/>
        <v/>
      </c>
      <c r="N21" s="28" t="str">
        <f>IF(AR21="","",IF(AA21='Instructions &amp; Reference'!$C$12,Scores!AR21,""))</f>
        <v/>
      </c>
      <c r="O21" s="29" t="str">
        <f t="shared" si="6"/>
        <v/>
      </c>
      <c r="P21" s="29" t="str">
        <f>IF(AR21="","",IF(AA21='Instructions &amp; Reference'!$C$13,Scores!AR21,""))</f>
        <v/>
      </c>
      <c r="Q21" s="28" t="str">
        <f t="shared" si="7"/>
        <v/>
      </c>
      <c r="R21" s="28" t="str">
        <f>IF(AR21="","",IF(AA21='Instructions &amp; Reference'!$C$14,Scores!AR21,""))</f>
        <v/>
      </c>
      <c r="S21" s="29" t="str">
        <f t="shared" si="8"/>
        <v/>
      </c>
      <c r="T21" s="29" t="str">
        <f>IF(AR21="","",IF(AA21='Instructions &amp; Reference'!$C$15,Scores!AR21,""))</f>
        <v/>
      </c>
      <c r="U21" s="28" t="str">
        <f t="shared" si="9"/>
        <v/>
      </c>
      <c r="V21" s="28" t="str">
        <f>IF(AR21="","",IF(AA21='Instructions &amp; Reference'!$C$16,Scores!AR21,""))</f>
        <v/>
      </c>
      <c r="W21" s="29" t="str">
        <f t="shared" si="10"/>
        <v/>
      </c>
      <c r="X21" s="30" t="str">
        <f>IF(AR21="","",IF(AA21='Instructions &amp; Reference'!$C$17,Scores!AR21,""))</f>
        <v/>
      </c>
      <c r="Z21" s="32" t="str">
        <f>IF('Teams &amp; HM'!A26="","",'Teams &amp; HM'!A26)</f>
        <v/>
      </c>
      <c r="AA21" s="126" t="str">
        <f>IF('Teams &amp; HM'!H31="","",'Teams &amp; HM'!H31)</f>
        <v/>
      </c>
      <c r="AB21" s="126" t="str">
        <f>IF('Teams &amp; HM'!A31="","",'Teams &amp; HM'!A31)</f>
        <v/>
      </c>
      <c r="AC21" s="126" t="str">
        <f>IF('Teams &amp; HM'!B31="","",'Teams &amp; HM'!B31)</f>
        <v/>
      </c>
      <c r="AE21" s="126" t="str">
        <f>IF(Ride!V21="","",Ride!X21)</f>
        <v/>
      </c>
      <c r="AF21" s="126" t="str">
        <f>IF(Run!L21="","",Run!L21)</f>
        <v/>
      </c>
      <c r="AG21" s="126" t="str">
        <f>IF(Shoot!J21="","",Shoot!J21)</f>
        <v/>
      </c>
      <c r="AH21" s="126" t="str">
        <f>IF(Swim!K21="","",Swim!K21)</f>
        <v/>
      </c>
      <c r="AI21" s="126" t="str">
        <f t="shared" si="11"/>
        <v/>
      </c>
      <c r="AK21" s="7"/>
      <c r="AL21" s="58" t="str">
        <f t="shared" si="12"/>
        <v/>
      </c>
      <c r="AN21" s="127" t="str">
        <f>IF('Teams &amp; HM'!Q31="","",'Teams &amp; HM'!Q31)</f>
        <v/>
      </c>
      <c r="AO21" s="127" t="str">
        <f>IF('Teams &amp; HM'!R31="","",'Teams &amp; HM'!R31)</f>
        <v/>
      </c>
      <c r="AP21" s="129"/>
      <c r="AR21" s="59" t="str">
        <f t="shared" si="13"/>
        <v/>
      </c>
      <c r="AT21" s="132"/>
      <c r="AU21" s="121"/>
    </row>
    <row r="22" spans="1:47" x14ac:dyDescent="0.25">
      <c r="A22" s="28" t="str">
        <f t="shared" si="0"/>
        <v/>
      </c>
      <c r="B22" s="28" t="str">
        <f>IF(AR22="","",IF(AA22='Instructions &amp; Reference'!$C$6,Scores!AR22,""))</f>
        <v/>
      </c>
      <c r="C22" s="29" t="str">
        <f>IF(D22="","",RANK(D22,$D$3:$D101,0))</f>
        <v/>
      </c>
      <c r="D22" s="29" t="str">
        <f>IF(AR22="","",IF(AA22='Instructions &amp; Reference'!$C$7,Scores!AR22,""))</f>
        <v/>
      </c>
      <c r="E22" s="28" t="str">
        <f t="shared" si="1"/>
        <v/>
      </c>
      <c r="F22" s="28" t="str">
        <f>IF(AR22="","",IF(AA22='Instructions &amp; Reference'!$C$8,Scores!AR22,""))</f>
        <v/>
      </c>
      <c r="G22" s="29" t="str">
        <f t="shared" si="2"/>
        <v/>
      </c>
      <c r="H22" s="29" t="str">
        <f>IF(AR22="","",IF(AA22='Instructions &amp; Reference'!$C$9,Scores!AR22,""))</f>
        <v/>
      </c>
      <c r="I22" s="28" t="str">
        <f t="shared" si="3"/>
        <v/>
      </c>
      <c r="J22" s="28" t="str">
        <f>IF(AR22="","",IF(AA22='Instructions &amp; Reference'!$C$10,Scores!AR22,""))</f>
        <v/>
      </c>
      <c r="K22" s="29" t="str">
        <f t="shared" si="4"/>
        <v/>
      </c>
      <c r="L22" s="29" t="str">
        <f>IF(AR22="","",IF(AA22='Instructions &amp; Reference'!$C$11,Scores!AR22,""))</f>
        <v/>
      </c>
      <c r="M22" s="28" t="str">
        <f t="shared" si="5"/>
        <v/>
      </c>
      <c r="N22" s="28" t="str">
        <f>IF(AR22="","",IF(AA22='Instructions &amp; Reference'!$C$12,Scores!AR22,""))</f>
        <v/>
      </c>
      <c r="O22" s="29" t="str">
        <f t="shared" si="6"/>
        <v/>
      </c>
      <c r="P22" s="29" t="str">
        <f>IF(AR22="","",IF(AA22='Instructions &amp; Reference'!$C$13,Scores!AR22,""))</f>
        <v/>
      </c>
      <c r="Q22" s="28" t="str">
        <f t="shared" si="7"/>
        <v/>
      </c>
      <c r="R22" s="28" t="str">
        <f>IF(AR22="","",IF(AA22='Instructions &amp; Reference'!$C$14,Scores!AR22,""))</f>
        <v/>
      </c>
      <c r="S22" s="29" t="str">
        <f t="shared" si="8"/>
        <v/>
      </c>
      <c r="T22" s="29" t="str">
        <f>IF(AR22="","",IF(AA22='Instructions &amp; Reference'!$C$15,Scores!AR22,""))</f>
        <v/>
      </c>
      <c r="U22" s="28" t="str">
        <f t="shared" si="9"/>
        <v/>
      </c>
      <c r="V22" s="28" t="str">
        <f>IF(AR22="","",IF(AA22='Instructions &amp; Reference'!$C$16,Scores!AR22,""))</f>
        <v/>
      </c>
      <c r="W22" s="29" t="str">
        <f t="shared" si="10"/>
        <v/>
      </c>
      <c r="X22" s="30" t="str">
        <f>IF(AR22="","",IF(AA22='Instructions &amp; Reference'!$C$17,Scores!AR22,""))</f>
        <v/>
      </c>
      <c r="Z22" s="32" t="str">
        <f>IF('Teams &amp; HM'!A26="","",'Teams &amp; HM'!A26)</f>
        <v/>
      </c>
      <c r="AA22" s="126" t="str">
        <f>IF('Teams &amp; HM'!H32="","",'Teams &amp; HM'!H32)</f>
        <v/>
      </c>
      <c r="AB22" s="126" t="str">
        <f>IF('Teams &amp; HM'!A32="","",'Teams &amp; HM'!A32)</f>
        <v/>
      </c>
      <c r="AC22" s="126" t="str">
        <f>IF('Teams &amp; HM'!B32="","",'Teams &amp; HM'!B32)</f>
        <v/>
      </c>
      <c r="AE22" s="126" t="str">
        <f>IF(Ride!V22="","",Ride!X22)</f>
        <v/>
      </c>
      <c r="AF22" s="126" t="str">
        <f>IF(Run!L22="","",Run!L22)</f>
        <v/>
      </c>
      <c r="AG22" s="126" t="str">
        <f>IF(Shoot!J22="","",Shoot!J22)</f>
        <v/>
      </c>
      <c r="AH22" s="126" t="str">
        <f>IF(Swim!K22="","",Swim!K22)</f>
        <v/>
      </c>
      <c r="AI22" s="126" t="str">
        <f t="shared" si="11"/>
        <v/>
      </c>
      <c r="AK22" s="7"/>
      <c r="AL22" s="58" t="str">
        <f t="shared" si="12"/>
        <v/>
      </c>
      <c r="AN22" s="127" t="str">
        <f>IF('Teams &amp; HM'!Q32="","",'Teams &amp; HM'!Q32)</f>
        <v/>
      </c>
      <c r="AO22" s="127" t="str">
        <f>IF('Teams &amp; HM'!R32="","",'Teams &amp; HM'!R32)</f>
        <v/>
      </c>
      <c r="AP22" s="130"/>
      <c r="AR22" s="59" t="str">
        <f t="shared" si="13"/>
        <v/>
      </c>
      <c r="AT22" s="133"/>
      <c r="AU22" s="122"/>
    </row>
    <row r="23" spans="1:47" x14ac:dyDescent="0.25">
      <c r="A23" s="28" t="str">
        <f t="shared" si="0"/>
        <v/>
      </c>
      <c r="B23" s="28" t="str">
        <f>IF(AR23="","",IF(AA23='Instructions &amp; Reference'!$C$6,Scores!AR23,""))</f>
        <v/>
      </c>
      <c r="C23" s="29" t="str">
        <f>IF(D23="","",RANK(D23,$D$3:$D102,0))</f>
        <v/>
      </c>
      <c r="D23" s="29" t="str">
        <f>IF(AR23="","",IF(AA23='Instructions &amp; Reference'!$C$7,Scores!AR23,""))</f>
        <v/>
      </c>
      <c r="E23" s="28" t="str">
        <f t="shared" si="1"/>
        <v/>
      </c>
      <c r="F23" s="28" t="str">
        <f>IF(AR23="","",IF(AA23='Instructions &amp; Reference'!$C$8,Scores!AR23,""))</f>
        <v/>
      </c>
      <c r="G23" s="29" t="str">
        <f t="shared" si="2"/>
        <v/>
      </c>
      <c r="H23" s="29" t="str">
        <f>IF(AR23="","",IF(AA23='Instructions &amp; Reference'!$C$9,Scores!AR23,""))</f>
        <v/>
      </c>
      <c r="I23" s="28" t="str">
        <f t="shared" si="3"/>
        <v/>
      </c>
      <c r="J23" s="28" t="str">
        <f>IF(AR23="","",IF(AA23='Instructions &amp; Reference'!$C$10,Scores!AR23,""))</f>
        <v/>
      </c>
      <c r="K23" s="29" t="str">
        <f t="shared" si="4"/>
        <v/>
      </c>
      <c r="L23" s="29" t="str">
        <f>IF(AR23="","",IF(AA23='Instructions &amp; Reference'!$C$11,Scores!AR23,""))</f>
        <v/>
      </c>
      <c r="M23" s="28" t="str">
        <f t="shared" si="5"/>
        <v/>
      </c>
      <c r="N23" s="28" t="str">
        <f>IF(AR23="","",IF(AA23='Instructions &amp; Reference'!$C$12,Scores!AR23,""))</f>
        <v/>
      </c>
      <c r="O23" s="29" t="str">
        <f t="shared" si="6"/>
        <v/>
      </c>
      <c r="P23" s="29" t="str">
        <f>IF(AR23="","",IF(AA23='Instructions &amp; Reference'!$C$13,Scores!AR23,""))</f>
        <v/>
      </c>
      <c r="Q23" s="28" t="str">
        <f t="shared" si="7"/>
        <v/>
      </c>
      <c r="R23" s="28" t="str">
        <f>IF(AR23="","",IF(AA23='Instructions &amp; Reference'!$C$14,Scores!AR23,""))</f>
        <v/>
      </c>
      <c r="S23" s="29" t="str">
        <f t="shared" si="8"/>
        <v/>
      </c>
      <c r="T23" s="29" t="str">
        <f>IF(AR23="","",IF(AA23='Instructions &amp; Reference'!$C$15,Scores!AR23,""))</f>
        <v/>
      </c>
      <c r="U23" s="28" t="str">
        <f t="shared" si="9"/>
        <v/>
      </c>
      <c r="V23" s="28" t="str">
        <f>IF(AR23="","",IF(AA23='Instructions &amp; Reference'!$C$16,Scores!AR23,""))</f>
        <v/>
      </c>
      <c r="W23" s="29" t="str">
        <f t="shared" si="10"/>
        <v/>
      </c>
      <c r="X23" s="30" t="str">
        <f>IF(AR23="","",IF(AA23='Instructions &amp; Reference'!$C$17,Scores!AR23,""))</f>
        <v/>
      </c>
      <c r="Z23" s="32" t="str">
        <f>IF('Teams &amp; HM'!A34="","",'Teams &amp; HM'!A34)</f>
        <v/>
      </c>
      <c r="AA23" s="126" t="str">
        <f>IF('Teams &amp; HM'!H36="","",'Teams &amp; HM'!H36)</f>
        <v/>
      </c>
      <c r="AB23" s="126" t="str">
        <f>IF('Teams &amp; HM'!A36="","",'Teams &amp; HM'!A36)</f>
        <v/>
      </c>
      <c r="AC23" s="126" t="str">
        <f>IF('Teams &amp; HM'!B36="","",'Teams &amp; HM'!B36)</f>
        <v/>
      </c>
      <c r="AE23" s="126" t="str">
        <f>IF(Ride!V23="","",Ride!X23)</f>
        <v/>
      </c>
      <c r="AF23" s="126" t="str">
        <f>IF(Run!L23="","",Run!L23)</f>
        <v/>
      </c>
      <c r="AG23" s="126" t="str">
        <f>IF(Shoot!J23="","",Shoot!J23)</f>
        <v/>
      </c>
      <c r="AH23" s="126" t="str">
        <f>IF(Swim!K23="","",Swim!K23)</f>
        <v/>
      </c>
      <c r="AI23" s="126" t="str">
        <f t="shared" si="11"/>
        <v/>
      </c>
      <c r="AK23" s="7"/>
      <c r="AL23" s="58" t="str">
        <f t="shared" si="12"/>
        <v/>
      </c>
      <c r="AN23" s="127" t="str">
        <f>IF('Teams &amp; HM'!Q36="","",'Teams &amp; HM'!Q36)</f>
        <v/>
      </c>
      <c r="AO23" s="127" t="str">
        <f>IF('Teams &amp; HM'!R36="","",'Teams &amp; HM'!R36)</f>
        <v/>
      </c>
      <c r="AP23" s="128">
        <f>IF('Teams &amp; HM'!T36="","",'Teams &amp; HM'!T36)</f>
        <v>0</v>
      </c>
      <c r="AR23" s="59" t="str">
        <f t="shared" si="13"/>
        <v/>
      </c>
      <c r="AT23" s="131"/>
      <c r="AU23" s="120" t="str">
        <f>IF(AC23="","",SUM(Ride!Y23+Run!M23+Shoot!K23+Swim!L23+AP23+AT23))</f>
        <v/>
      </c>
    </row>
    <row r="24" spans="1:47" x14ac:dyDescent="0.25">
      <c r="A24" s="28" t="str">
        <f t="shared" si="0"/>
        <v/>
      </c>
      <c r="B24" s="28" t="str">
        <f>IF(AR24="","",IF(AA24='Instructions &amp; Reference'!$C$6,Scores!AR24,""))</f>
        <v/>
      </c>
      <c r="C24" s="29" t="str">
        <f>IF(D24="","",RANK(D24,$D$3:$D103,0))</f>
        <v/>
      </c>
      <c r="D24" s="29" t="str">
        <f>IF(AR24="","",IF(AA24='Instructions &amp; Reference'!$C$7,Scores!AR24,""))</f>
        <v/>
      </c>
      <c r="E24" s="28" t="str">
        <f t="shared" si="1"/>
        <v/>
      </c>
      <c r="F24" s="28" t="str">
        <f>IF(AR24="","",IF(AA24='Instructions &amp; Reference'!$C$8,Scores!AR24,""))</f>
        <v/>
      </c>
      <c r="G24" s="29" t="str">
        <f t="shared" si="2"/>
        <v/>
      </c>
      <c r="H24" s="29" t="str">
        <f>IF(AR24="","",IF(AA24='Instructions &amp; Reference'!$C$9,Scores!AR24,""))</f>
        <v/>
      </c>
      <c r="I24" s="28" t="str">
        <f t="shared" si="3"/>
        <v/>
      </c>
      <c r="J24" s="28" t="str">
        <f>IF(AR24="","",IF(AA24='Instructions &amp; Reference'!$C$10,Scores!AR24,""))</f>
        <v/>
      </c>
      <c r="K24" s="29" t="str">
        <f t="shared" si="4"/>
        <v/>
      </c>
      <c r="L24" s="29" t="str">
        <f>IF(AR24="","",IF(AA24='Instructions &amp; Reference'!$C$11,Scores!AR24,""))</f>
        <v/>
      </c>
      <c r="M24" s="28" t="str">
        <f t="shared" si="5"/>
        <v/>
      </c>
      <c r="N24" s="28" t="str">
        <f>IF(AR24="","",IF(AA24='Instructions &amp; Reference'!$C$12,Scores!AR24,""))</f>
        <v/>
      </c>
      <c r="O24" s="29" t="str">
        <f t="shared" si="6"/>
        <v/>
      </c>
      <c r="P24" s="29" t="str">
        <f>IF(AR24="","",IF(AA24='Instructions &amp; Reference'!$C$13,Scores!AR24,""))</f>
        <v/>
      </c>
      <c r="Q24" s="28" t="str">
        <f t="shared" si="7"/>
        <v/>
      </c>
      <c r="R24" s="28" t="str">
        <f>IF(AR24="","",IF(AA24='Instructions &amp; Reference'!$C$14,Scores!AR24,""))</f>
        <v/>
      </c>
      <c r="S24" s="29" t="str">
        <f t="shared" si="8"/>
        <v/>
      </c>
      <c r="T24" s="29" t="str">
        <f>IF(AR24="","",IF(AA24='Instructions &amp; Reference'!$C$15,Scores!AR24,""))</f>
        <v/>
      </c>
      <c r="U24" s="28" t="str">
        <f t="shared" si="9"/>
        <v/>
      </c>
      <c r="V24" s="28" t="str">
        <f>IF(AR24="","",IF(AA24='Instructions &amp; Reference'!$C$16,Scores!AR24,""))</f>
        <v/>
      </c>
      <c r="W24" s="29" t="str">
        <f t="shared" si="10"/>
        <v/>
      </c>
      <c r="X24" s="30" t="str">
        <f>IF(AR24="","",IF(AA24='Instructions &amp; Reference'!$C$17,Scores!AR24,""))</f>
        <v/>
      </c>
      <c r="Z24" s="32" t="str">
        <f>IF('Teams &amp; HM'!A34="","",'Teams &amp; HM'!A34)</f>
        <v/>
      </c>
      <c r="AA24" s="126" t="str">
        <f>IF('Teams &amp; HM'!H37="","",'Teams &amp; HM'!H37)</f>
        <v/>
      </c>
      <c r="AB24" s="126" t="str">
        <f>IF('Teams &amp; HM'!A37="","",'Teams &amp; HM'!A37)</f>
        <v/>
      </c>
      <c r="AC24" s="126" t="str">
        <f>IF('Teams &amp; HM'!B37="","",'Teams &amp; HM'!B37)</f>
        <v/>
      </c>
      <c r="AE24" s="126" t="str">
        <f>IF(Ride!V24="","",Ride!X24)</f>
        <v/>
      </c>
      <c r="AF24" s="126" t="str">
        <f>IF(Run!L24="","",Run!L24)</f>
        <v/>
      </c>
      <c r="AG24" s="126" t="str">
        <f>IF(Shoot!J24="","",Shoot!J24)</f>
        <v/>
      </c>
      <c r="AH24" s="126" t="str">
        <f>IF(Swim!K24="","",Swim!K24)</f>
        <v/>
      </c>
      <c r="AI24" s="126" t="str">
        <f t="shared" si="11"/>
        <v/>
      </c>
      <c r="AK24" s="7"/>
      <c r="AL24" s="58" t="str">
        <f t="shared" si="12"/>
        <v/>
      </c>
      <c r="AN24" s="127" t="str">
        <f>IF('Teams &amp; HM'!Q37="","",'Teams &amp; HM'!Q37)</f>
        <v/>
      </c>
      <c r="AO24" s="127" t="str">
        <f>IF('Teams &amp; HM'!R37="","",'Teams &amp; HM'!R37)</f>
        <v/>
      </c>
      <c r="AP24" s="129"/>
      <c r="AR24" s="59" t="str">
        <f t="shared" si="13"/>
        <v/>
      </c>
      <c r="AT24" s="132"/>
      <c r="AU24" s="121"/>
    </row>
    <row r="25" spans="1:47" x14ac:dyDescent="0.25">
      <c r="A25" s="28" t="str">
        <f t="shared" si="0"/>
        <v/>
      </c>
      <c r="B25" s="28" t="str">
        <f>IF(AR25="","",IF(AA25='Instructions &amp; Reference'!$C$6,Scores!AR25,""))</f>
        <v/>
      </c>
      <c r="C25" s="29" t="str">
        <f>IF(D25="","",RANK(D25,$D$3:$D104,0))</f>
        <v/>
      </c>
      <c r="D25" s="29" t="str">
        <f>IF(AR25="","",IF(AA25='Instructions &amp; Reference'!$C$7,Scores!AR25,""))</f>
        <v/>
      </c>
      <c r="E25" s="28" t="str">
        <f t="shared" si="1"/>
        <v/>
      </c>
      <c r="F25" s="28" t="str">
        <f>IF(AR25="","",IF(AA25='Instructions &amp; Reference'!$C$8,Scores!AR25,""))</f>
        <v/>
      </c>
      <c r="G25" s="29" t="str">
        <f t="shared" si="2"/>
        <v/>
      </c>
      <c r="H25" s="29" t="str">
        <f>IF(AR25="","",IF(AA25='Instructions &amp; Reference'!$C$9,Scores!AR25,""))</f>
        <v/>
      </c>
      <c r="I25" s="28" t="str">
        <f t="shared" si="3"/>
        <v/>
      </c>
      <c r="J25" s="28" t="str">
        <f>IF(AR25="","",IF(AA25='Instructions &amp; Reference'!$C$10,Scores!AR25,""))</f>
        <v/>
      </c>
      <c r="K25" s="29" t="str">
        <f t="shared" si="4"/>
        <v/>
      </c>
      <c r="L25" s="29" t="str">
        <f>IF(AR25="","",IF(AA25='Instructions &amp; Reference'!$C$11,Scores!AR25,""))</f>
        <v/>
      </c>
      <c r="M25" s="28" t="str">
        <f t="shared" si="5"/>
        <v/>
      </c>
      <c r="N25" s="28" t="str">
        <f>IF(AR25="","",IF(AA25='Instructions &amp; Reference'!$C$12,Scores!AR25,""))</f>
        <v/>
      </c>
      <c r="O25" s="29" t="str">
        <f t="shared" si="6"/>
        <v/>
      </c>
      <c r="P25" s="29" t="str">
        <f>IF(AR25="","",IF(AA25='Instructions &amp; Reference'!$C$13,Scores!AR25,""))</f>
        <v/>
      </c>
      <c r="Q25" s="28" t="str">
        <f t="shared" si="7"/>
        <v/>
      </c>
      <c r="R25" s="28" t="str">
        <f>IF(AR25="","",IF(AA25='Instructions &amp; Reference'!$C$14,Scores!AR25,""))</f>
        <v/>
      </c>
      <c r="S25" s="29" t="str">
        <f t="shared" si="8"/>
        <v/>
      </c>
      <c r="T25" s="29" t="str">
        <f>IF(AR25="","",IF(AA25='Instructions &amp; Reference'!$C$15,Scores!AR25,""))</f>
        <v/>
      </c>
      <c r="U25" s="28" t="str">
        <f t="shared" si="9"/>
        <v/>
      </c>
      <c r="V25" s="28" t="str">
        <f>IF(AR25="","",IF(AA25='Instructions &amp; Reference'!$C$16,Scores!AR25,""))</f>
        <v/>
      </c>
      <c r="W25" s="29" t="str">
        <f t="shared" si="10"/>
        <v/>
      </c>
      <c r="X25" s="30" t="str">
        <f>IF(AR25="","",IF(AA25='Instructions &amp; Reference'!$C$17,Scores!AR25,""))</f>
        <v/>
      </c>
      <c r="Z25" s="32" t="str">
        <f>IF('Teams &amp; HM'!A34="","",'Teams &amp; HM'!A34)</f>
        <v/>
      </c>
      <c r="AA25" s="126" t="str">
        <f>IF('Teams &amp; HM'!H38="","",'Teams &amp; HM'!H38)</f>
        <v/>
      </c>
      <c r="AB25" s="126" t="str">
        <f>IF('Teams &amp; HM'!A38="","",'Teams &amp; HM'!A38)</f>
        <v/>
      </c>
      <c r="AC25" s="126" t="str">
        <f>IF('Teams &amp; HM'!B38="","",'Teams &amp; HM'!B38)</f>
        <v/>
      </c>
      <c r="AE25" s="126" t="str">
        <f>IF(Ride!V25="","",Ride!X25)</f>
        <v/>
      </c>
      <c r="AF25" s="126" t="str">
        <f>IF(Run!L25="","",Run!L25)</f>
        <v/>
      </c>
      <c r="AG25" s="126" t="str">
        <f>IF(Shoot!J25="","",Shoot!J25)</f>
        <v/>
      </c>
      <c r="AH25" s="126" t="str">
        <f>IF(Swim!K25="","",Swim!K25)</f>
        <v/>
      </c>
      <c r="AI25" s="126" t="str">
        <f t="shared" si="11"/>
        <v/>
      </c>
      <c r="AK25" s="7"/>
      <c r="AL25" s="58" t="str">
        <f t="shared" si="12"/>
        <v/>
      </c>
      <c r="AN25" s="127" t="str">
        <f>IF('Teams &amp; HM'!Q38="","",'Teams &amp; HM'!Q38)</f>
        <v/>
      </c>
      <c r="AO25" s="127" t="str">
        <f>IF('Teams &amp; HM'!R38="","",'Teams &amp; HM'!R38)</f>
        <v/>
      </c>
      <c r="AP25" s="129"/>
      <c r="AR25" s="59" t="str">
        <f t="shared" si="13"/>
        <v/>
      </c>
      <c r="AT25" s="132"/>
      <c r="AU25" s="121"/>
    </row>
    <row r="26" spans="1:47" x14ac:dyDescent="0.25">
      <c r="A26" s="28" t="str">
        <f t="shared" si="0"/>
        <v/>
      </c>
      <c r="B26" s="28" t="str">
        <f>IF(AR26="","",IF(AA26='Instructions &amp; Reference'!$C$6,Scores!AR26,""))</f>
        <v/>
      </c>
      <c r="C26" s="29" t="str">
        <f>IF(D26="","",RANK(D26,$D$3:$D105,0))</f>
        <v/>
      </c>
      <c r="D26" s="29" t="str">
        <f>IF(AR26="","",IF(AA26='Instructions &amp; Reference'!$C$7,Scores!AR26,""))</f>
        <v/>
      </c>
      <c r="E26" s="28" t="str">
        <f t="shared" si="1"/>
        <v/>
      </c>
      <c r="F26" s="28" t="str">
        <f>IF(AR26="","",IF(AA26='Instructions &amp; Reference'!$C$8,Scores!AR26,""))</f>
        <v/>
      </c>
      <c r="G26" s="29" t="str">
        <f t="shared" si="2"/>
        <v/>
      </c>
      <c r="H26" s="29" t="str">
        <f>IF(AR26="","",IF(AA26='Instructions &amp; Reference'!$C$9,Scores!AR26,""))</f>
        <v/>
      </c>
      <c r="I26" s="28" t="str">
        <f t="shared" si="3"/>
        <v/>
      </c>
      <c r="J26" s="28" t="str">
        <f>IF(AR26="","",IF(AA26='Instructions &amp; Reference'!$C$10,Scores!AR26,""))</f>
        <v/>
      </c>
      <c r="K26" s="29" t="str">
        <f t="shared" si="4"/>
        <v/>
      </c>
      <c r="L26" s="29" t="str">
        <f>IF(AR26="","",IF(AA26='Instructions &amp; Reference'!$C$11,Scores!AR26,""))</f>
        <v/>
      </c>
      <c r="M26" s="28" t="str">
        <f t="shared" si="5"/>
        <v/>
      </c>
      <c r="N26" s="28" t="str">
        <f>IF(AR26="","",IF(AA26='Instructions &amp; Reference'!$C$12,Scores!AR26,""))</f>
        <v/>
      </c>
      <c r="O26" s="29" t="str">
        <f t="shared" si="6"/>
        <v/>
      </c>
      <c r="P26" s="29" t="str">
        <f>IF(AR26="","",IF(AA26='Instructions &amp; Reference'!$C$13,Scores!AR26,""))</f>
        <v/>
      </c>
      <c r="Q26" s="28" t="str">
        <f t="shared" si="7"/>
        <v/>
      </c>
      <c r="R26" s="28" t="str">
        <f>IF(AR26="","",IF(AA26='Instructions &amp; Reference'!$C$14,Scores!AR26,""))</f>
        <v/>
      </c>
      <c r="S26" s="29" t="str">
        <f t="shared" si="8"/>
        <v/>
      </c>
      <c r="T26" s="29" t="str">
        <f>IF(AR26="","",IF(AA26='Instructions &amp; Reference'!$C$15,Scores!AR26,""))</f>
        <v/>
      </c>
      <c r="U26" s="28" t="str">
        <f t="shared" si="9"/>
        <v/>
      </c>
      <c r="V26" s="28" t="str">
        <f>IF(AR26="","",IF(AA26='Instructions &amp; Reference'!$C$16,Scores!AR26,""))</f>
        <v/>
      </c>
      <c r="W26" s="29" t="str">
        <f t="shared" si="10"/>
        <v/>
      </c>
      <c r="X26" s="30" t="str">
        <f>IF(AR26="","",IF(AA26='Instructions &amp; Reference'!$C$17,Scores!AR26,""))</f>
        <v/>
      </c>
      <c r="Z26" s="32" t="str">
        <f>IF('Teams &amp; HM'!A34="","",'Teams &amp; HM'!A34)</f>
        <v/>
      </c>
      <c r="AA26" s="126" t="str">
        <f>IF('Teams &amp; HM'!H39="","",'Teams &amp; HM'!H39)</f>
        <v/>
      </c>
      <c r="AB26" s="126" t="str">
        <f>IF('Teams &amp; HM'!A39="","",'Teams &amp; HM'!A39)</f>
        <v/>
      </c>
      <c r="AC26" s="126" t="str">
        <f>IF('Teams &amp; HM'!B39="","",'Teams &amp; HM'!B39)</f>
        <v/>
      </c>
      <c r="AE26" s="126" t="str">
        <f>IF(Ride!V26="","",Ride!X26)</f>
        <v/>
      </c>
      <c r="AF26" s="126" t="str">
        <f>IF(Run!L26="","",Run!L26)</f>
        <v/>
      </c>
      <c r="AG26" s="126" t="str">
        <f>IF(Shoot!J26="","",Shoot!J26)</f>
        <v/>
      </c>
      <c r="AH26" s="126" t="str">
        <f>IF(Swim!K26="","",Swim!K26)</f>
        <v/>
      </c>
      <c r="AI26" s="126" t="str">
        <f t="shared" si="11"/>
        <v/>
      </c>
      <c r="AK26" s="7"/>
      <c r="AL26" s="58" t="str">
        <f t="shared" si="12"/>
        <v/>
      </c>
      <c r="AN26" s="127" t="str">
        <f>IF('Teams &amp; HM'!Q39="","",'Teams &amp; HM'!Q39)</f>
        <v/>
      </c>
      <c r="AO26" s="127" t="str">
        <f>IF('Teams &amp; HM'!R39="","",'Teams &amp; HM'!R39)</f>
        <v/>
      </c>
      <c r="AP26" s="129"/>
      <c r="AR26" s="59" t="str">
        <f t="shared" si="13"/>
        <v/>
      </c>
      <c r="AT26" s="132"/>
      <c r="AU26" s="121"/>
    </row>
    <row r="27" spans="1:47" x14ac:dyDescent="0.25">
      <c r="A27" s="28" t="str">
        <f t="shared" si="0"/>
        <v/>
      </c>
      <c r="B27" s="28" t="str">
        <f>IF(AR27="","",IF(AA27='Instructions &amp; Reference'!$C$6,Scores!AR27,""))</f>
        <v/>
      </c>
      <c r="C27" s="29" t="str">
        <f>IF(D27="","",RANK(D27,$D$3:$D106,0))</f>
        <v/>
      </c>
      <c r="D27" s="29" t="str">
        <f>IF(AR27="","",IF(AA27='Instructions &amp; Reference'!$C$7,Scores!AR27,""))</f>
        <v/>
      </c>
      <c r="E27" s="28" t="str">
        <f t="shared" si="1"/>
        <v/>
      </c>
      <c r="F27" s="28" t="str">
        <f>IF(AR27="","",IF(AA27='Instructions &amp; Reference'!$C$8,Scores!AR27,""))</f>
        <v/>
      </c>
      <c r="G27" s="29" t="str">
        <f t="shared" si="2"/>
        <v/>
      </c>
      <c r="H27" s="29" t="str">
        <f>IF(AR27="","",IF(AA27='Instructions &amp; Reference'!$C$9,Scores!AR27,""))</f>
        <v/>
      </c>
      <c r="I27" s="28" t="str">
        <f t="shared" si="3"/>
        <v/>
      </c>
      <c r="J27" s="28" t="str">
        <f>IF(AR27="","",IF(AA27='Instructions &amp; Reference'!$C$10,Scores!AR27,""))</f>
        <v/>
      </c>
      <c r="K27" s="29" t="str">
        <f t="shared" si="4"/>
        <v/>
      </c>
      <c r="L27" s="29" t="str">
        <f>IF(AR27="","",IF(AA27='Instructions &amp; Reference'!$C$11,Scores!AR27,""))</f>
        <v/>
      </c>
      <c r="M27" s="28" t="str">
        <f t="shared" si="5"/>
        <v/>
      </c>
      <c r="N27" s="28" t="str">
        <f>IF(AR27="","",IF(AA27='Instructions &amp; Reference'!$C$12,Scores!AR27,""))</f>
        <v/>
      </c>
      <c r="O27" s="29" t="str">
        <f t="shared" si="6"/>
        <v/>
      </c>
      <c r="P27" s="29" t="str">
        <f>IF(AR27="","",IF(AA27='Instructions &amp; Reference'!$C$13,Scores!AR27,""))</f>
        <v/>
      </c>
      <c r="Q27" s="28" t="str">
        <f t="shared" si="7"/>
        <v/>
      </c>
      <c r="R27" s="28" t="str">
        <f>IF(AR27="","",IF(AA27='Instructions &amp; Reference'!$C$14,Scores!AR27,""))</f>
        <v/>
      </c>
      <c r="S27" s="29" t="str">
        <f t="shared" si="8"/>
        <v/>
      </c>
      <c r="T27" s="29" t="str">
        <f>IF(AR27="","",IF(AA27='Instructions &amp; Reference'!$C$15,Scores!AR27,""))</f>
        <v/>
      </c>
      <c r="U27" s="28" t="str">
        <f t="shared" si="9"/>
        <v/>
      </c>
      <c r="V27" s="28" t="str">
        <f>IF(AR27="","",IF(AA27='Instructions &amp; Reference'!$C$16,Scores!AR27,""))</f>
        <v/>
      </c>
      <c r="W27" s="29" t="str">
        <f t="shared" si="10"/>
        <v/>
      </c>
      <c r="X27" s="30" t="str">
        <f>IF(AR27="","",IF(AA27='Instructions &amp; Reference'!$C$17,Scores!AR27,""))</f>
        <v/>
      </c>
      <c r="Z27" s="32" t="str">
        <f>IF('Teams &amp; HM'!A34="","",'Teams &amp; HM'!A34)</f>
        <v/>
      </c>
      <c r="AA27" s="126" t="str">
        <f>IF('Teams &amp; HM'!H40="","",'Teams &amp; HM'!H40)</f>
        <v/>
      </c>
      <c r="AB27" s="126" t="str">
        <f>IF('Teams &amp; HM'!A40="","",'Teams &amp; HM'!A40)</f>
        <v/>
      </c>
      <c r="AC27" s="126" t="str">
        <f>IF('Teams &amp; HM'!B40="","",'Teams &amp; HM'!B40)</f>
        <v/>
      </c>
      <c r="AE27" s="126" t="str">
        <f>IF(Ride!V27="","",Ride!X27)</f>
        <v/>
      </c>
      <c r="AF27" s="126" t="str">
        <f>IF(Run!L27="","",Run!L27)</f>
        <v/>
      </c>
      <c r="AG27" s="126" t="str">
        <f>IF(Shoot!J27="","",Shoot!J27)</f>
        <v/>
      </c>
      <c r="AH27" s="126" t="str">
        <f>IF(Swim!K27="","",Swim!K27)</f>
        <v/>
      </c>
      <c r="AI27" s="126" t="str">
        <f t="shared" si="11"/>
        <v/>
      </c>
      <c r="AK27" s="7"/>
      <c r="AL27" s="58" t="str">
        <f t="shared" si="12"/>
        <v/>
      </c>
      <c r="AN27" s="127" t="str">
        <f>IF('Teams &amp; HM'!Q40="","",'Teams &amp; HM'!Q40)</f>
        <v/>
      </c>
      <c r="AO27" s="127" t="str">
        <f>IF('Teams &amp; HM'!R40="","",'Teams &amp; HM'!R40)</f>
        <v/>
      </c>
      <c r="AP27" s="130"/>
      <c r="AR27" s="59" t="str">
        <f t="shared" si="13"/>
        <v/>
      </c>
      <c r="AT27" s="133"/>
      <c r="AU27" s="122"/>
    </row>
    <row r="28" spans="1:47" x14ac:dyDescent="0.25">
      <c r="A28" s="28" t="str">
        <f t="shared" si="0"/>
        <v/>
      </c>
      <c r="B28" s="28" t="str">
        <f>IF(AR28="","",IF(AA28='Instructions &amp; Reference'!$C$6,Scores!AR28,""))</f>
        <v/>
      </c>
      <c r="C28" s="29" t="str">
        <f>IF(D28="","",RANK(D28,$D$3:$D107,0))</f>
        <v/>
      </c>
      <c r="D28" s="29" t="str">
        <f>IF(AR28="","",IF(AA28='Instructions &amp; Reference'!$C$7,Scores!AR28,""))</f>
        <v/>
      </c>
      <c r="E28" s="28" t="str">
        <f t="shared" si="1"/>
        <v/>
      </c>
      <c r="F28" s="28" t="str">
        <f>IF(AR28="","",IF(AA28='Instructions &amp; Reference'!$C$8,Scores!AR28,""))</f>
        <v/>
      </c>
      <c r="G28" s="29" t="str">
        <f t="shared" si="2"/>
        <v/>
      </c>
      <c r="H28" s="29" t="str">
        <f>IF(AR28="","",IF(AA28='Instructions &amp; Reference'!$C$9,Scores!AR28,""))</f>
        <v/>
      </c>
      <c r="I28" s="28" t="str">
        <f t="shared" si="3"/>
        <v/>
      </c>
      <c r="J28" s="28" t="str">
        <f>IF(AR28="","",IF(AA28='Instructions &amp; Reference'!$C$10,Scores!AR28,""))</f>
        <v/>
      </c>
      <c r="K28" s="29" t="str">
        <f t="shared" si="4"/>
        <v/>
      </c>
      <c r="L28" s="29" t="str">
        <f>IF(AR28="","",IF(AA28='Instructions &amp; Reference'!$C$11,Scores!AR28,""))</f>
        <v/>
      </c>
      <c r="M28" s="28" t="str">
        <f t="shared" si="5"/>
        <v/>
      </c>
      <c r="N28" s="28" t="str">
        <f>IF(AR28="","",IF(AA28='Instructions &amp; Reference'!$C$12,Scores!AR28,""))</f>
        <v/>
      </c>
      <c r="O28" s="29" t="str">
        <f t="shared" si="6"/>
        <v/>
      </c>
      <c r="P28" s="29" t="str">
        <f>IF(AR28="","",IF(AA28='Instructions &amp; Reference'!$C$13,Scores!AR28,""))</f>
        <v/>
      </c>
      <c r="Q28" s="28" t="str">
        <f t="shared" si="7"/>
        <v/>
      </c>
      <c r="R28" s="28" t="str">
        <f>IF(AR28="","",IF(AA28='Instructions &amp; Reference'!$C$14,Scores!AR28,""))</f>
        <v/>
      </c>
      <c r="S28" s="29" t="str">
        <f t="shared" si="8"/>
        <v/>
      </c>
      <c r="T28" s="29" t="str">
        <f>IF(AR28="","",IF(AA28='Instructions &amp; Reference'!$C$15,Scores!AR28,""))</f>
        <v/>
      </c>
      <c r="U28" s="28" t="str">
        <f t="shared" si="9"/>
        <v/>
      </c>
      <c r="V28" s="28" t="str">
        <f>IF(AR28="","",IF(AA28='Instructions &amp; Reference'!$C$16,Scores!AR28,""))</f>
        <v/>
      </c>
      <c r="W28" s="29" t="str">
        <f t="shared" si="10"/>
        <v/>
      </c>
      <c r="X28" s="30" t="str">
        <f>IF(AR28="","",IF(AA28='Instructions &amp; Reference'!$C$17,Scores!AR28,""))</f>
        <v/>
      </c>
      <c r="Z28" s="32" t="str">
        <f>IF('Teams &amp; HM'!A42="","",'Teams &amp; HM'!A42)</f>
        <v/>
      </c>
      <c r="AA28" s="126" t="str">
        <f>IF('Teams &amp; HM'!H44="","",'Teams &amp; HM'!H44)</f>
        <v/>
      </c>
      <c r="AB28" s="126" t="str">
        <f>IF('Teams &amp; HM'!A44="","",'Teams &amp; HM'!A44)</f>
        <v/>
      </c>
      <c r="AC28" s="126" t="str">
        <f>IF('Teams &amp; HM'!B44="","",'Teams &amp; HM'!B44)</f>
        <v/>
      </c>
      <c r="AE28" s="126" t="str">
        <f>IF(Ride!V28="","",Ride!X28)</f>
        <v/>
      </c>
      <c r="AF28" s="126" t="str">
        <f>IF(Run!L28="","",Run!L28)</f>
        <v/>
      </c>
      <c r="AG28" s="126" t="str">
        <f>IF(Shoot!J28="","",Shoot!J28)</f>
        <v/>
      </c>
      <c r="AH28" s="126" t="str">
        <f>IF(Swim!K28="","",Swim!K28)</f>
        <v/>
      </c>
      <c r="AI28" s="126" t="str">
        <f t="shared" si="11"/>
        <v/>
      </c>
      <c r="AK28" s="7"/>
      <c r="AL28" s="58" t="str">
        <f t="shared" si="12"/>
        <v/>
      </c>
      <c r="AN28" s="127" t="str">
        <f>IF('Teams &amp; HM'!Q44="","",'Teams &amp; HM'!Q44)</f>
        <v/>
      </c>
      <c r="AO28" s="127" t="str">
        <f>IF('Teams &amp; HM'!R44="","",'Teams &amp; HM'!R44)</f>
        <v/>
      </c>
      <c r="AP28" s="128">
        <f>IF('Teams &amp; HM'!T44="","",'Teams &amp; HM'!T44)</f>
        <v>0</v>
      </c>
      <c r="AR28" s="59" t="str">
        <f t="shared" si="13"/>
        <v/>
      </c>
      <c r="AT28" s="131"/>
      <c r="AU28" s="120" t="str">
        <f>IF(AC28="","",SUM(Ride!Y28+Run!M28+Shoot!K28+Swim!L28+AP28+AT28))</f>
        <v/>
      </c>
    </row>
    <row r="29" spans="1:47" x14ac:dyDescent="0.25">
      <c r="A29" s="28" t="str">
        <f t="shared" si="0"/>
        <v/>
      </c>
      <c r="B29" s="28" t="str">
        <f>IF(AR29="","",IF(AA29='Instructions &amp; Reference'!$C$6,Scores!AR29,""))</f>
        <v/>
      </c>
      <c r="C29" s="29" t="str">
        <f>IF(D29="","",RANK(D29,$D$3:$D108,0))</f>
        <v/>
      </c>
      <c r="D29" s="29" t="str">
        <f>IF(AR29="","",IF(AA29='Instructions &amp; Reference'!$C$7,Scores!AR29,""))</f>
        <v/>
      </c>
      <c r="E29" s="28" t="str">
        <f t="shared" si="1"/>
        <v/>
      </c>
      <c r="F29" s="28" t="str">
        <f>IF(AR29="","",IF(AA29='Instructions &amp; Reference'!$C$8,Scores!AR29,""))</f>
        <v/>
      </c>
      <c r="G29" s="29" t="str">
        <f t="shared" si="2"/>
        <v/>
      </c>
      <c r="H29" s="29" t="str">
        <f>IF(AR29="","",IF(AA29='Instructions &amp; Reference'!$C$9,Scores!AR29,""))</f>
        <v/>
      </c>
      <c r="I29" s="28" t="str">
        <f t="shared" si="3"/>
        <v/>
      </c>
      <c r="J29" s="28" t="str">
        <f>IF(AR29="","",IF(AA29='Instructions &amp; Reference'!$C$10,Scores!AR29,""))</f>
        <v/>
      </c>
      <c r="K29" s="29" t="str">
        <f t="shared" si="4"/>
        <v/>
      </c>
      <c r="L29" s="29" t="str">
        <f>IF(AR29="","",IF(AA29='Instructions &amp; Reference'!$C$11,Scores!AR29,""))</f>
        <v/>
      </c>
      <c r="M29" s="28" t="str">
        <f t="shared" si="5"/>
        <v/>
      </c>
      <c r="N29" s="28" t="str">
        <f>IF(AR29="","",IF(AA29='Instructions &amp; Reference'!$C$12,Scores!AR29,""))</f>
        <v/>
      </c>
      <c r="O29" s="29" t="str">
        <f t="shared" si="6"/>
        <v/>
      </c>
      <c r="P29" s="29" t="str">
        <f>IF(AR29="","",IF(AA29='Instructions &amp; Reference'!$C$13,Scores!AR29,""))</f>
        <v/>
      </c>
      <c r="Q29" s="28" t="str">
        <f t="shared" si="7"/>
        <v/>
      </c>
      <c r="R29" s="28" t="str">
        <f>IF(AR29="","",IF(AA29='Instructions &amp; Reference'!$C$14,Scores!AR29,""))</f>
        <v/>
      </c>
      <c r="S29" s="29" t="str">
        <f t="shared" si="8"/>
        <v/>
      </c>
      <c r="T29" s="29" t="str">
        <f>IF(AR29="","",IF(AA29='Instructions &amp; Reference'!$C$15,Scores!AR29,""))</f>
        <v/>
      </c>
      <c r="U29" s="28" t="str">
        <f t="shared" si="9"/>
        <v/>
      </c>
      <c r="V29" s="28" t="str">
        <f>IF(AR29="","",IF(AA29='Instructions &amp; Reference'!$C$16,Scores!AR29,""))</f>
        <v/>
      </c>
      <c r="W29" s="29" t="str">
        <f t="shared" si="10"/>
        <v/>
      </c>
      <c r="X29" s="30" t="str">
        <f>IF(AR29="","",IF(AA29='Instructions &amp; Reference'!$C$17,Scores!AR29,""))</f>
        <v/>
      </c>
      <c r="Z29" s="32" t="str">
        <f>IF('Teams &amp; HM'!A42="","",'Teams &amp; HM'!A42)</f>
        <v/>
      </c>
      <c r="AA29" s="126" t="str">
        <f>IF('Teams &amp; HM'!H45="","",'Teams &amp; HM'!H45)</f>
        <v/>
      </c>
      <c r="AB29" s="126" t="str">
        <f>IF('Teams &amp; HM'!A45="","",'Teams &amp; HM'!A45)</f>
        <v/>
      </c>
      <c r="AC29" s="126" t="str">
        <f>IF('Teams &amp; HM'!B45="","",'Teams &amp; HM'!B45)</f>
        <v/>
      </c>
      <c r="AE29" s="126" t="str">
        <f>IF(Ride!V29="","",Ride!X29)</f>
        <v/>
      </c>
      <c r="AF29" s="126" t="str">
        <f>IF(Run!L29="","",Run!L29)</f>
        <v/>
      </c>
      <c r="AG29" s="126" t="str">
        <f>IF(Shoot!J29="","",Shoot!J29)</f>
        <v/>
      </c>
      <c r="AH29" s="126" t="str">
        <f>IF(Swim!K29="","",Swim!K29)</f>
        <v/>
      </c>
      <c r="AI29" s="126" t="str">
        <f t="shared" si="11"/>
        <v/>
      </c>
      <c r="AK29" s="7"/>
      <c r="AL29" s="58" t="str">
        <f t="shared" si="12"/>
        <v/>
      </c>
      <c r="AN29" s="127" t="str">
        <f>IF('Teams &amp; HM'!Q45="","",'Teams &amp; HM'!Q45)</f>
        <v/>
      </c>
      <c r="AO29" s="127" t="str">
        <f>IF('Teams &amp; HM'!R45="","",'Teams &amp; HM'!R45)</f>
        <v/>
      </c>
      <c r="AP29" s="129"/>
      <c r="AR29" s="59" t="str">
        <f t="shared" si="13"/>
        <v/>
      </c>
      <c r="AT29" s="132"/>
      <c r="AU29" s="121"/>
    </row>
    <row r="30" spans="1:47" x14ac:dyDescent="0.25">
      <c r="A30" s="28" t="str">
        <f t="shared" si="0"/>
        <v/>
      </c>
      <c r="B30" s="28" t="str">
        <f>IF(AR30="","",IF(AA30='Instructions &amp; Reference'!$C$6,Scores!AR30,""))</f>
        <v/>
      </c>
      <c r="C30" s="29" t="str">
        <f>IF(D30="","",RANK(D30,$D$3:$D109,0))</f>
        <v/>
      </c>
      <c r="D30" s="29" t="str">
        <f>IF(AR30="","",IF(AA30='Instructions &amp; Reference'!$C$7,Scores!AR30,""))</f>
        <v/>
      </c>
      <c r="E30" s="28" t="str">
        <f t="shared" si="1"/>
        <v/>
      </c>
      <c r="F30" s="28" t="str">
        <f>IF(AR30="","",IF(AA30='Instructions &amp; Reference'!$C$8,Scores!AR30,""))</f>
        <v/>
      </c>
      <c r="G30" s="29" t="str">
        <f t="shared" si="2"/>
        <v/>
      </c>
      <c r="H30" s="29" t="str">
        <f>IF(AR30="","",IF(AA30='Instructions &amp; Reference'!$C$9,Scores!AR30,""))</f>
        <v/>
      </c>
      <c r="I30" s="28" t="str">
        <f t="shared" si="3"/>
        <v/>
      </c>
      <c r="J30" s="28" t="str">
        <f>IF(AR30="","",IF(AA30='Instructions &amp; Reference'!$C$10,Scores!AR30,""))</f>
        <v/>
      </c>
      <c r="K30" s="29" t="str">
        <f t="shared" si="4"/>
        <v/>
      </c>
      <c r="L30" s="29" t="str">
        <f>IF(AR30="","",IF(AA30='Instructions &amp; Reference'!$C$11,Scores!AR30,""))</f>
        <v/>
      </c>
      <c r="M30" s="28" t="str">
        <f t="shared" si="5"/>
        <v/>
      </c>
      <c r="N30" s="28" t="str">
        <f>IF(AR30="","",IF(AA30='Instructions &amp; Reference'!$C$12,Scores!AR30,""))</f>
        <v/>
      </c>
      <c r="O30" s="29" t="str">
        <f t="shared" si="6"/>
        <v/>
      </c>
      <c r="P30" s="29" t="str">
        <f>IF(AR30="","",IF(AA30='Instructions &amp; Reference'!$C$13,Scores!AR30,""))</f>
        <v/>
      </c>
      <c r="Q30" s="28" t="str">
        <f t="shared" si="7"/>
        <v/>
      </c>
      <c r="R30" s="28" t="str">
        <f>IF(AR30="","",IF(AA30='Instructions &amp; Reference'!$C$14,Scores!AR30,""))</f>
        <v/>
      </c>
      <c r="S30" s="29" t="str">
        <f t="shared" si="8"/>
        <v/>
      </c>
      <c r="T30" s="29" t="str">
        <f>IF(AR30="","",IF(AA30='Instructions &amp; Reference'!$C$15,Scores!AR30,""))</f>
        <v/>
      </c>
      <c r="U30" s="28" t="str">
        <f t="shared" si="9"/>
        <v/>
      </c>
      <c r="V30" s="28" t="str">
        <f>IF(AR30="","",IF(AA30='Instructions &amp; Reference'!$C$16,Scores!AR30,""))</f>
        <v/>
      </c>
      <c r="W30" s="29" t="str">
        <f t="shared" si="10"/>
        <v/>
      </c>
      <c r="X30" s="30" t="str">
        <f>IF(AR30="","",IF(AA30='Instructions &amp; Reference'!$C$17,Scores!AR30,""))</f>
        <v/>
      </c>
      <c r="Z30" s="32" t="str">
        <f>IF('Teams &amp; HM'!A42="","",'Teams &amp; HM'!A42)</f>
        <v/>
      </c>
      <c r="AA30" s="126" t="str">
        <f>IF('Teams &amp; HM'!H46="","",'Teams &amp; HM'!H46)</f>
        <v/>
      </c>
      <c r="AB30" s="126" t="str">
        <f>IF('Teams &amp; HM'!A46="","",'Teams &amp; HM'!A46)</f>
        <v/>
      </c>
      <c r="AC30" s="126" t="str">
        <f>IF('Teams &amp; HM'!B46="","",'Teams &amp; HM'!B46)</f>
        <v/>
      </c>
      <c r="AE30" s="126" t="str">
        <f>IF(Ride!V30="","",Ride!X30)</f>
        <v/>
      </c>
      <c r="AF30" s="126" t="str">
        <f>IF(Run!L30="","",Run!L30)</f>
        <v/>
      </c>
      <c r="AG30" s="126" t="str">
        <f>IF(Shoot!J30="","",Shoot!J30)</f>
        <v/>
      </c>
      <c r="AH30" s="126" t="str">
        <f>IF(Swim!K30="","",Swim!K30)</f>
        <v/>
      </c>
      <c r="AI30" s="126" t="str">
        <f t="shared" si="11"/>
        <v/>
      </c>
      <c r="AK30" s="7"/>
      <c r="AL30" s="58" t="str">
        <f t="shared" si="12"/>
        <v/>
      </c>
      <c r="AN30" s="127" t="str">
        <f>IF('Teams &amp; HM'!Q46="","",'Teams &amp; HM'!Q46)</f>
        <v/>
      </c>
      <c r="AO30" s="127" t="str">
        <f>IF('Teams &amp; HM'!R46="","",'Teams &amp; HM'!R46)</f>
        <v/>
      </c>
      <c r="AP30" s="129"/>
      <c r="AR30" s="59" t="str">
        <f t="shared" si="13"/>
        <v/>
      </c>
      <c r="AT30" s="132"/>
      <c r="AU30" s="121"/>
    </row>
    <row r="31" spans="1:47" x14ac:dyDescent="0.25">
      <c r="A31" s="28" t="str">
        <f t="shared" si="0"/>
        <v/>
      </c>
      <c r="B31" s="28" t="str">
        <f>IF(AR31="","",IF(AA31='Instructions &amp; Reference'!$C$6,Scores!AR31,""))</f>
        <v/>
      </c>
      <c r="C31" s="29" t="str">
        <f>IF(D31="","",RANK(D31,$D$3:$D110,0))</f>
        <v/>
      </c>
      <c r="D31" s="29" t="str">
        <f>IF(AR31="","",IF(AA31='Instructions &amp; Reference'!$C$7,Scores!AR31,""))</f>
        <v/>
      </c>
      <c r="E31" s="28" t="str">
        <f t="shared" si="1"/>
        <v/>
      </c>
      <c r="F31" s="28" t="str">
        <f>IF(AR31="","",IF(AA31='Instructions &amp; Reference'!$C$8,Scores!AR31,""))</f>
        <v/>
      </c>
      <c r="G31" s="29" t="str">
        <f t="shared" si="2"/>
        <v/>
      </c>
      <c r="H31" s="29" t="str">
        <f>IF(AR31="","",IF(AA31='Instructions &amp; Reference'!$C$9,Scores!AR31,""))</f>
        <v/>
      </c>
      <c r="I31" s="28" t="str">
        <f t="shared" si="3"/>
        <v/>
      </c>
      <c r="J31" s="28" t="str">
        <f>IF(AR31="","",IF(AA31='Instructions &amp; Reference'!$C$10,Scores!AR31,""))</f>
        <v/>
      </c>
      <c r="K31" s="29" t="str">
        <f t="shared" si="4"/>
        <v/>
      </c>
      <c r="L31" s="29" t="str">
        <f>IF(AR31="","",IF(AA31='Instructions &amp; Reference'!$C$11,Scores!AR31,""))</f>
        <v/>
      </c>
      <c r="M31" s="28" t="str">
        <f t="shared" si="5"/>
        <v/>
      </c>
      <c r="N31" s="28" t="str">
        <f>IF(AR31="","",IF(AA31='Instructions &amp; Reference'!$C$12,Scores!AR31,""))</f>
        <v/>
      </c>
      <c r="O31" s="29" t="str">
        <f t="shared" si="6"/>
        <v/>
      </c>
      <c r="P31" s="29" t="str">
        <f>IF(AR31="","",IF(AA31='Instructions &amp; Reference'!$C$13,Scores!AR31,""))</f>
        <v/>
      </c>
      <c r="Q31" s="28" t="str">
        <f t="shared" si="7"/>
        <v/>
      </c>
      <c r="R31" s="28" t="str">
        <f>IF(AR31="","",IF(AA31='Instructions &amp; Reference'!$C$14,Scores!AR31,""))</f>
        <v/>
      </c>
      <c r="S31" s="29" t="str">
        <f t="shared" si="8"/>
        <v/>
      </c>
      <c r="T31" s="29" t="str">
        <f>IF(AR31="","",IF(AA31='Instructions &amp; Reference'!$C$15,Scores!AR31,""))</f>
        <v/>
      </c>
      <c r="U31" s="28" t="str">
        <f t="shared" si="9"/>
        <v/>
      </c>
      <c r="V31" s="28" t="str">
        <f>IF(AR31="","",IF(AA31='Instructions &amp; Reference'!$C$16,Scores!AR31,""))</f>
        <v/>
      </c>
      <c r="W31" s="29" t="str">
        <f t="shared" si="10"/>
        <v/>
      </c>
      <c r="X31" s="30" t="str">
        <f>IF(AR31="","",IF(AA31='Instructions &amp; Reference'!$C$17,Scores!AR31,""))</f>
        <v/>
      </c>
      <c r="Z31" s="32" t="str">
        <f>IF('Teams &amp; HM'!A42="","",'Teams &amp; HM'!A42)</f>
        <v/>
      </c>
      <c r="AA31" s="126" t="str">
        <f>IF('Teams &amp; HM'!H47="","",'Teams &amp; HM'!H47)</f>
        <v/>
      </c>
      <c r="AB31" s="126" t="str">
        <f>IF('Teams &amp; HM'!A47="","",'Teams &amp; HM'!A47)</f>
        <v/>
      </c>
      <c r="AC31" s="126" t="str">
        <f>IF('Teams &amp; HM'!B47="","",'Teams &amp; HM'!B47)</f>
        <v/>
      </c>
      <c r="AE31" s="126" t="str">
        <f>IF(Ride!V31="","",Ride!X31)</f>
        <v/>
      </c>
      <c r="AF31" s="126" t="str">
        <f>IF(Run!L31="","",Run!L31)</f>
        <v/>
      </c>
      <c r="AG31" s="126" t="str">
        <f>IF(Shoot!J31="","",Shoot!J31)</f>
        <v/>
      </c>
      <c r="AH31" s="126" t="str">
        <f>IF(Swim!K31="","",Swim!K31)</f>
        <v/>
      </c>
      <c r="AI31" s="126" t="str">
        <f t="shared" si="11"/>
        <v/>
      </c>
      <c r="AK31" s="7"/>
      <c r="AL31" s="58" t="str">
        <f t="shared" si="12"/>
        <v/>
      </c>
      <c r="AN31" s="127" t="str">
        <f>IF('Teams &amp; HM'!Q47="","",'Teams &amp; HM'!Q47)</f>
        <v/>
      </c>
      <c r="AO31" s="127" t="str">
        <f>IF('Teams &amp; HM'!R47="","",'Teams &amp; HM'!R47)</f>
        <v/>
      </c>
      <c r="AP31" s="129"/>
      <c r="AR31" s="59" t="str">
        <f t="shared" si="13"/>
        <v/>
      </c>
      <c r="AT31" s="132"/>
      <c r="AU31" s="121"/>
    </row>
    <row r="32" spans="1:47" x14ac:dyDescent="0.25">
      <c r="A32" s="28" t="str">
        <f t="shared" si="0"/>
        <v/>
      </c>
      <c r="B32" s="28" t="str">
        <f>IF(AR32="","",IF(AA32='Instructions &amp; Reference'!$C$6,Scores!AR32,""))</f>
        <v/>
      </c>
      <c r="C32" s="29" t="str">
        <f>IF(D32="","",RANK(D32,$D$3:$D111,0))</f>
        <v/>
      </c>
      <c r="D32" s="29" t="str">
        <f>IF(AR32="","",IF(AA32='Instructions &amp; Reference'!$C$7,Scores!AR32,""))</f>
        <v/>
      </c>
      <c r="E32" s="28" t="str">
        <f t="shared" si="1"/>
        <v/>
      </c>
      <c r="F32" s="28" t="str">
        <f>IF(AR32="","",IF(AA32='Instructions &amp; Reference'!$C$8,Scores!AR32,""))</f>
        <v/>
      </c>
      <c r="G32" s="29" t="str">
        <f t="shared" si="2"/>
        <v/>
      </c>
      <c r="H32" s="29" t="str">
        <f>IF(AR32="","",IF(AA32='Instructions &amp; Reference'!$C$9,Scores!AR32,""))</f>
        <v/>
      </c>
      <c r="I32" s="28" t="str">
        <f t="shared" si="3"/>
        <v/>
      </c>
      <c r="J32" s="28" t="str">
        <f>IF(AR32="","",IF(AA32='Instructions &amp; Reference'!$C$10,Scores!AR32,""))</f>
        <v/>
      </c>
      <c r="K32" s="29" t="str">
        <f t="shared" si="4"/>
        <v/>
      </c>
      <c r="L32" s="29" t="str">
        <f>IF(AR32="","",IF(AA32='Instructions &amp; Reference'!$C$11,Scores!AR32,""))</f>
        <v/>
      </c>
      <c r="M32" s="28" t="str">
        <f t="shared" si="5"/>
        <v/>
      </c>
      <c r="N32" s="28" t="str">
        <f>IF(AR32="","",IF(AA32='Instructions &amp; Reference'!$C$12,Scores!AR32,""))</f>
        <v/>
      </c>
      <c r="O32" s="29" t="str">
        <f t="shared" si="6"/>
        <v/>
      </c>
      <c r="P32" s="29" t="str">
        <f>IF(AR32="","",IF(AA32='Instructions &amp; Reference'!$C$13,Scores!AR32,""))</f>
        <v/>
      </c>
      <c r="Q32" s="28" t="str">
        <f t="shared" si="7"/>
        <v/>
      </c>
      <c r="R32" s="28" t="str">
        <f>IF(AR32="","",IF(AA32='Instructions &amp; Reference'!$C$14,Scores!AR32,""))</f>
        <v/>
      </c>
      <c r="S32" s="29" t="str">
        <f t="shared" si="8"/>
        <v/>
      </c>
      <c r="T32" s="29" t="str">
        <f>IF(AR32="","",IF(AA32='Instructions &amp; Reference'!$C$15,Scores!AR32,""))</f>
        <v/>
      </c>
      <c r="U32" s="28" t="str">
        <f t="shared" si="9"/>
        <v/>
      </c>
      <c r="V32" s="28" t="str">
        <f>IF(AR32="","",IF(AA32='Instructions &amp; Reference'!$C$16,Scores!AR32,""))</f>
        <v/>
      </c>
      <c r="W32" s="29" t="str">
        <f t="shared" si="10"/>
        <v/>
      </c>
      <c r="X32" s="30" t="str">
        <f>IF(AR32="","",IF(AA32='Instructions &amp; Reference'!$C$17,Scores!AR32,""))</f>
        <v/>
      </c>
      <c r="Z32" s="32" t="str">
        <f>IF('Teams &amp; HM'!A42="","",'Teams &amp; HM'!A42)</f>
        <v/>
      </c>
      <c r="AA32" s="126" t="str">
        <f>IF('Teams &amp; HM'!H48="","",'Teams &amp; HM'!H48)</f>
        <v/>
      </c>
      <c r="AB32" s="126" t="str">
        <f>IF('Teams &amp; HM'!A48="","",'Teams &amp; HM'!A48)</f>
        <v/>
      </c>
      <c r="AC32" s="126" t="str">
        <f>IF('Teams &amp; HM'!B48="","",'Teams &amp; HM'!B48)</f>
        <v/>
      </c>
      <c r="AE32" s="126" t="str">
        <f>IF(Ride!V32="","",Ride!X32)</f>
        <v/>
      </c>
      <c r="AF32" s="126" t="str">
        <f>IF(Run!L32="","",Run!L32)</f>
        <v/>
      </c>
      <c r="AG32" s="126" t="str">
        <f>IF(Shoot!J32="","",Shoot!J32)</f>
        <v/>
      </c>
      <c r="AH32" s="126" t="str">
        <f>IF(Swim!K32="","",Swim!K32)</f>
        <v/>
      </c>
      <c r="AI32" s="126" t="str">
        <f t="shared" si="11"/>
        <v/>
      </c>
      <c r="AK32" s="7"/>
      <c r="AL32" s="58" t="str">
        <f t="shared" si="12"/>
        <v/>
      </c>
      <c r="AN32" s="127" t="str">
        <f>IF('Teams &amp; HM'!Q48="","",'Teams &amp; HM'!Q48)</f>
        <v/>
      </c>
      <c r="AO32" s="127" t="str">
        <f>IF('Teams &amp; HM'!R48="","",'Teams &amp; HM'!R48)</f>
        <v/>
      </c>
      <c r="AP32" s="130"/>
      <c r="AR32" s="59" t="str">
        <f t="shared" si="13"/>
        <v/>
      </c>
      <c r="AT32" s="133"/>
      <c r="AU32" s="122"/>
    </row>
    <row r="33" spans="1:47" x14ac:dyDescent="0.25">
      <c r="A33" s="28" t="str">
        <f t="shared" si="0"/>
        <v/>
      </c>
      <c r="B33" s="28" t="str">
        <f>IF(AR33="","",IF(AA33='Instructions &amp; Reference'!$C$6,Scores!AR33,""))</f>
        <v/>
      </c>
      <c r="C33" s="29" t="str">
        <f>IF(D33="","",RANK(D33,$D$3:$D112,0))</f>
        <v/>
      </c>
      <c r="D33" s="29" t="str">
        <f>IF(AR33="","",IF(AA33='Instructions &amp; Reference'!$C$7,Scores!AR33,""))</f>
        <v/>
      </c>
      <c r="E33" s="28" t="str">
        <f t="shared" si="1"/>
        <v/>
      </c>
      <c r="F33" s="28" t="str">
        <f>IF(AR33="","",IF(AA33='Instructions &amp; Reference'!$C$8,Scores!AR33,""))</f>
        <v/>
      </c>
      <c r="G33" s="29" t="str">
        <f t="shared" si="2"/>
        <v/>
      </c>
      <c r="H33" s="29" t="str">
        <f>IF(AR33="","",IF(AA33='Instructions &amp; Reference'!$C$9,Scores!AR33,""))</f>
        <v/>
      </c>
      <c r="I33" s="28" t="str">
        <f t="shared" si="3"/>
        <v/>
      </c>
      <c r="J33" s="28" t="str">
        <f>IF(AR33="","",IF(AA33='Instructions &amp; Reference'!$C$10,Scores!AR33,""))</f>
        <v/>
      </c>
      <c r="K33" s="29" t="str">
        <f t="shared" si="4"/>
        <v/>
      </c>
      <c r="L33" s="29" t="str">
        <f>IF(AR33="","",IF(AA33='Instructions &amp; Reference'!$C$11,Scores!AR33,""))</f>
        <v/>
      </c>
      <c r="M33" s="28" t="str">
        <f t="shared" si="5"/>
        <v/>
      </c>
      <c r="N33" s="28" t="str">
        <f>IF(AR33="","",IF(AA33='Instructions &amp; Reference'!$C$12,Scores!AR33,""))</f>
        <v/>
      </c>
      <c r="O33" s="29" t="str">
        <f t="shared" si="6"/>
        <v/>
      </c>
      <c r="P33" s="29" t="str">
        <f>IF(AR33="","",IF(AA33='Instructions &amp; Reference'!$C$13,Scores!AR33,""))</f>
        <v/>
      </c>
      <c r="Q33" s="28" t="str">
        <f t="shared" si="7"/>
        <v/>
      </c>
      <c r="R33" s="28" t="str">
        <f>IF(AR33="","",IF(AA33='Instructions &amp; Reference'!$C$14,Scores!AR33,""))</f>
        <v/>
      </c>
      <c r="S33" s="29" t="str">
        <f t="shared" si="8"/>
        <v/>
      </c>
      <c r="T33" s="29" t="str">
        <f>IF(AR33="","",IF(AA33='Instructions &amp; Reference'!$C$15,Scores!AR33,""))</f>
        <v/>
      </c>
      <c r="U33" s="28" t="str">
        <f t="shared" si="9"/>
        <v/>
      </c>
      <c r="V33" s="28" t="str">
        <f>IF(AR33="","",IF(AA33='Instructions &amp; Reference'!$C$16,Scores!AR33,""))</f>
        <v/>
      </c>
      <c r="W33" s="29" t="str">
        <f t="shared" si="10"/>
        <v/>
      </c>
      <c r="X33" s="30" t="str">
        <f>IF(AR33="","",IF(AA33='Instructions &amp; Reference'!$C$17,Scores!AR33,""))</f>
        <v/>
      </c>
      <c r="Z33" s="32" t="str">
        <f>IF('Teams &amp; HM'!A50="","",'Teams &amp; HM'!A50)</f>
        <v/>
      </c>
      <c r="AA33" s="126" t="str">
        <f>IF('Teams &amp; HM'!H52="","",'Teams &amp; HM'!H52)</f>
        <v/>
      </c>
      <c r="AB33" s="126" t="str">
        <f>IF('Teams &amp; HM'!A52="","",'Teams &amp; HM'!A52)</f>
        <v/>
      </c>
      <c r="AC33" s="126" t="str">
        <f>IF('Teams &amp; HM'!B52="","",'Teams &amp; HM'!B52)</f>
        <v/>
      </c>
      <c r="AE33" s="126" t="str">
        <f>IF(Ride!V33="","",Ride!X33)</f>
        <v/>
      </c>
      <c r="AF33" s="126" t="str">
        <f>IF(Run!L33="","",Run!L33)</f>
        <v/>
      </c>
      <c r="AG33" s="126" t="str">
        <f>IF(Shoot!J33="","",Shoot!J33)</f>
        <v/>
      </c>
      <c r="AH33" s="126" t="str">
        <f>IF(Swim!K33="","",Swim!K33)</f>
        <v/>
      </c>
      <c r="AI33" s="126" t="str">
        <f t="shared" si="11"/>
        <v/>
      </c>
      <c r="AK33" s="7"/>
      <c r="AL33" s="58" t="str">
        <f t="shared" si="12"/>
        <v/>
      </c>
      <c r="AN33" s="127" t="str">
        <f>IF('Teams &amp; HM'!Q52="","",'Teams &amp; HM'!Q52)</f>
        <v/>
      </c>
      <c r="AO33" s="127" t="str">
        <f>IF('Teams &amp; HM'!R52="","",'Teams &amp; HM'!R52)</f>
        <v/>
      </c>
      <c r="AP33" s="128">
        <f>IF('Teams &amp; HM'!T52="","",'Teams &amp; HM'!T52)</f>
        <v>0</v>
      </c>
      <c r="AR33" s="59" t="str">
        <f t="shared" si="13"/>
        <v/>
      </c>
      <c r="AT33" s="131"/>
      <c r="AU33" s="120" t="str">
        <f>IF(AC33="","",SUM(Ride!Y33+Run!M33+Shoot!K33+Swim!L33+AP33+AT33))</f>
        <v/>
      </c>
    </row>
    <row r="34" spans="1:47" x14ac:dyDescent="0.25">
      <c r="A34" s="28" t="str">
        <f t="shared" si="0"/>
        <v/>
      </c>
      <c r="B34" s="28" t="str">
        <f>IF(AR34="","",IF(AA34='Instructions &amp; Reference'!$C$6,Scores!AR34,""))</f>
        <v/>
      </c>
      <c r="C34" s="29" t="str">
        <f>IF(D34="","",RANK(D34,$D$3:$D113,0))</f>
        <v/>
      </c>
      <c r="D34" s="29" t="str">
        <f>IF(AR34="","",IF(AA34='Instructions &amp; Reference'!$C$7,Scores!AR34,""))</f>
        <v/>
      </c>
      <c r="E34" s="28" t="str">
        <f t="shared" si="1"/>
        <v/>
      </c>
      <c r="F34" s="28" t="str">
        <f>IF(AR34="","",IF(AA34='Instructions &amp; Reference'!$C$8,Scores!AR34,""))</f>
        <v/>
      </c>
      <c r="G34" s="29" t="str">
        <f t="shared" si="2"/>
        <v/>
      </c>
      <c r="H34" s="29" t="str">
        <f>IF(AR34="","",IF(AA34='Instructions &amp; Reference'!$C$9,Scores!AR34,""))</f>
        <v/>
      </c>
      <c r="I34" s="28" t="str">
        <f t="shared" si="3"/>
        <v/>
      </c>
      <c r="J34" s="28" t="str">
        <f>IF(AR34="","",IF(AA34='Instructions &amp; Reference'!$C$10,Scores!AR34,""))</f>
        <v/>
      </c>
      <c r="K34" s="29" t="str">
        <f t="shared" si="4"/>
        <v/>
      </c>
      <c r="L34" s="29" t="str">
        <f>IF(AR34="","",IF(AA34='Instructions &amp; Reference'!$C$11,Scores!AR34,""))</f>
        <v/>
      </c>
      <c r="M34" s="28" t="str">
        <f t="shared" si="5"/>
        <v/>
      </c>
      <c r="N34" s="28" t="str">
        <f>IF(AR34="","",IF(AA34='Instructions &amp; Reference'!$C$12,Scores!AR34,""))</f>
        <v/>
      </c>
      <c r="O34" s="29" t="str">
        <f t="shared" si="6"/>
        <v/>
      </c>
      <c r="P34" s="29" t="str">
        <f>IF(AR34="","",IF(AA34='Instructions &amp; Reference'!$C$13,Scores!AR34,""))</f>
        <v/>
      </c>
      <c r="Q34" s="28" t="str">
        <f t="shared" si="7"/>
        <v/>
      </c>
      <c r="R34" s="28" t="str">
        <f>IF(AR34="","",IF(AA34='Instructions &amp; Reference'!$C$14,Scores!AR34,""))</f>
        <v/>
      </c>
      <c r="S34" s="29" t="str">
        <f t="shared" si="8"/>
        <v/>
      </c>
      <c r="T34" s="29" t="str">
        <f>IF(AR34="","",IF(AA34='Instructions &amp; Reference'!$C$15,Scores!AR34,""))</f>
        <v/>
      </c>
      <c r="U34" s="28" t="str">
        <f t="shared" si="9"/>
        <v/>
      </c>
      <c r="V34" s="28" t="str">
        <f>IF(AR34="","",IF(AA34='Instructions &amp; Reference'!$C$16,Scores!AR34,""))</f>
        <v/>
      </c>
      <c r="W34" s="29" t="str">
        <f t="shared" si="10"/>
        <v/>
      </c>
      <c r="X34" s="30" t="str">
        <f>IF(AR34="","",IF(AA34='Instructions &amp; Reference'!$C$17,Scores!AR34,""))</f>
        <v/>
      </c>
      <c r="Z34" s="32" t="str">
        <f>IF('Teams &amp; HM'!A50="","",'Teams &amp; HM'!A50)</f>
        <v/>
      </c>
      <c r="AA34" s="126" t="str">
        <f>IF('Teams &amp; HM'!H53="","",'Teams &amp; HM'!H53)</f>
        <v/>
      </c>
      <c r="AB34" s="126" t="str">
        <f>IF('Teams &amp; HM'!A53="","",'Teams &amp; HM'!A53)</f>
        <v/>
      </c>
      <c r="AC34" s="126" t="str">
        <f>IF('Teams &amp; HM'!B53="","",'Teams &amp; HM'!B53)</f>
        <v/>
      </c>
      <c r="AE34" s="126" t="str">
        <f>IF(Ride!V34="","",Ride!X34)</f>
        <v/>
      </c>
      <c r="AF34" s="126" t="str">
        <f>IF(Run!L34="","",Run!L34)</f>
        <v/>
      </c>
      <c r="AG34" s="126" t="str">
        <f>IF(Shoot!J34="","",Shoot!J34)</f>
        <v/>
      </c>
      <c r="AH34" s="126" t="str">
        <f>IF(Swim!K34="","",Swim!K34)</f>
        <v/>
      </c>
      <c r="AI34" s="126" t="str">
        <f t="shared" si="11"/>
        <v/>
      </c>
      <c r="AK34" s="7"/>
      <c r="AL34" s="58" t="str">
        <f t="shared" si="12"/>
        <v/>
      </c>
      <c r="AN34" s="127" t="str">
        <f>IF('Teams &amp; HM'!Q53="","",'Teams &amp; HM'!Q53)</f>
        <v/>
      </c>
      <c r="AO34" s="127" t="str">
        <f>IF('Teams &amp; HM'!R53="","",'Teams &amp; HM'!R53)</f>
        <v/>
      </c>
      <c r="AP34" s="129"/>
      <c r="AR34" s="59" t="str">
        <f t="shared" si="13"/>
        <v/>
      </c>
      <c r="AT34" s="132"/>
      <c r="AU34" s="121"/>
    </row>
    <row r="35" spans="1:47" x14ac:dyDescent="0.25">
      <c r="A35" s="28" t="str">
        <f t="shared" si="0"/>
        <v/>
      </c>
      <c r="B35" s="28" t="str">
        <f>IF(AR35="","",IF(AA35='Instructions &amp; Reference'!$C$6,Scores!AR35,""))</f>
        <v/>
      </c>
      <c r="C35" s="29" t="str">
        <f>IF(D35="","",RANK(D35,$D$3:$D114,0))</f>
        <v/>
      </c>
      <c r="D35" s="29" t="str">
        <f>IF(AR35="","",IF(AA35='Instructions &amp; Reference'!$C$7,Scores!AR35,""))</f>
        <v/>
      </c>
      <c r="E35" s="28" t="str">
        <f t="shared" si="1"/>
        <v/>
      </c>
      <c r="F35" s="28" t="str">
        <f>IF(AR35="","",IF(AA35='Instructions &amp; Reference'!$C$8,Scores!AR35,""))</f>
        <v/>
      </c>
      <c r="G35" s="29" t="str">
        <f t="shared" si="2"/>
        <v/>
      </c>
      <c r="H35" s="29" t="str">
        <f>IF(AR35="","",IF(AA35='Instructions &amp; Reference'!$C$9,Scores!AR35,""))</f>
        <v/>
      </c>
      <c r="I35" s="28" t="str">
        <f t="shared" si="3"/>
        <v/>
      </c>
      <c r="J35" s="28" t="str">
        <f>IF(AR35="","",IF(AA35='Instructions &amp; Reference'!$C$10,Scores!AR35,""))</f>
        <v/>
      </c>
      <c r="K35" s="29" t="str">
        <f t="shared" si="4"/>
        <v/>
      </c>
      <c r="L35" s="29" t="str">
        <f>IF(AR35="","",IF(AA35='Instructions &amp; Reference'!$C$11,Scores!AR35,""))</f>
        <v/>
      </c>
      <c r="M35" s="28" t="str">
        <f t="shared" si="5"/>
        <v/>
      </c>
      <c r="N35" s="28" t="str">
        <f>IF(AR35="","",IF(AA35='Instructions &amp; Reference'!$C$12,Scores!AR35,""))</f>
        <v/>
      </c>
      <c r="O35" s="29" t="str">
        <f t="shared" si="6"/>
        <v/>
      </c>
      <c r="P35" s="29" t="str">
        <f>IF(AR35="","",IF(AA35='Instructions &amp; Reference'!$C$13,Scores!AR35,""))</f>
        <v/>
      </c>
      <c r="Q35" s="28" t="str">
        <f t="shared" si="7"/>
        <v/>
      </c>
      <c r="R35" s="28" t="str">
        <f>IF(AR35="","",IF(AA35='Instructions &amp; Reference'!$C$14,Scores!AR35,""))</f>
        <v/>
      </c>
      <c r="S35" s="29" t="str">
        <f t="shared" si="8"/>
        <v/>
      </c>
      <c r="T35" s="29" t="str">
        <f>IF(AR35="","",IF(AA35='Instructions &amp; Reference'!$C$15,Scores!AR35,""))</f>
        <v/>
      </c>
      <c r="U35" s="28" t="str">
        <f t="shared" si="9"/>
        <v/>
      </c>
      <c r="V35" s="28" t="str">
        <f>IF(AR35="","",IF(AA35='Instructions &amp; Reference'!$C$16,Scores!AR35,""))</f>
        <v/>
      </c>
      <c r="W35" s="29" t="str">
        <f t="shared" si="10"/>
        <v/>
      </c>
      <c r="X35" s="30" t="str">
        <f>IF(AR35="","",IF(AA35='Instructions &amp; Reference'!$C$17,Scores!AR35,""))</f>
        <v/>
      </c>
      <c r="Z35" s="32" t="str">
        <f>IF('Teams &amp; HM'!A50="","",'Teams &amp; HM'!A50)</f>
        <v/>
      </c>
      <c r="AA35" s="126" t="str">
        <f>IF('Teams &amp; HM'!H54="","",'Teams &amp; HM'!H54)</f>
        <v/>
      </c>
      <c r="AB35" s="126" t="str">
        <f>IF('Teams &amp; HM'!A54="","",'Teams &amp; HM'!A54)</f>
        <v/>
      </c>
      <c r="AC35" s="126" t="str">
        <f>IF('Teams &amp; HM'!B54="","",'Teams &amp; HM'!B54)</f>
        <v/>
      </c>
      <c r="AE35" s="126" t="str">
        <f>IF(Ride!V35="","",Ride!X35)</f>
        <v/>
      </c>
      <c r="AF35" s="126" t="str">
        <f>IF(Run!L35="","",Run!L35)</f>
        <v/>
      </c>
      <c r="AG35" s="126" t="str">
        <f>IF(Shoot!J35="","",Shoot!J35)</f>
        <v/>
      </c>
      <c r="AH35" s="126" t="str">
        <f>IF(Swim!K35="","",Swim!K35)</f>
        <v/>
      </c>
      <c r="AI35" s="126" t="str">
        <f t="shared" si="11"/>
        <v/>
      </c>
      <c r="AK35" s="7"/>
      <c r="AL35" s="58" t="str">
        <f t="shared" si="12"/>
        <v/>
      </c>
      <c r="AN35" s="127" t="str">
        <f>IF('Teams &amp; HM'!Q54="","",'Teams &amp; HM'!Q54)</f>
        <v/>
      </c>
      <c r="AO35" s="127" t="str">
        <f>IF('Teams &amp; HM'!R54="","",'Teams &amp; HM'!R54)</f>
        <v/>
      </c>
      <c r="AP35" s="129"/>
      <c r="AR35" s="59" t="str">
        <f t="shared" si="13"/>
        <v/>
      </c>
      <c r="AT35" s="132"/>
      <c r="AU35" s="121"/>
    </row>
    <row r="36" spans="1:47" x14ac:dyDescent="0.25">
      <c r="A36" s="28" t="str">
        <f t="shared" si="0"/>
        <v/>
      </c>
      <c r="B36" s="28" t="str">
        <f>IF(AR36="","",IF(AA36='Instructions &amp; Reference'!$C$6,Scores!AR36,""))</f>
        <v/>
      </c>
      <c r="C36" s="29" t="str">
        <f>IF(D36="","",RANK(D36,$D$3:$D115,0))</f>
        <v/>
      </c>
      <c r="D36" s="29" t="str">
        <f>IF(AR36="","",IF(AA36='Instructions &amp; Reference'!$C$7,Scores!AR36,""))</f>
        <v/>
      </c>
      <c r="E36" s="28" t="str">
        <f t="shared" si="1"/>
        <v/>
      </c>
      <c r="F36" s="28" t="str">
        <f>IF(AR36="","",IF(AA36='Instructions &amp; Reference'!$C$8,Scores!AR36,""))</f>
        <v/>
      </c>
      <c r="G36" s="29" t="str">
        <f t="shared" si="2"/>
        <v/>
      </c>
      <c r="H36" s="29" t="str">
        <f>IF(AR36="","",IF(AA36='Instructions &amp; Reference'!$C$9,Scores!AR36,""))</f>
        <v/>
      </c>
      <c r="I36" s="28" t="str">
        <f t="shared" si="3"/>
        <v/>
      </c>
      <c r="J36" s="28" t="str">
        <f>IF(AR36="","",IF(AA36='Instructions &amp; Reference'!$C$10,Scores!AR36,""))</f>
        <v/>
      </c>
      <c r="K36" s="29" t="str">
        <f t="shared" si="4"/>
        <v/>
      </c>
      <c r="L36" s="29" t="str">
        <f>IF(AR36="","",IF(AA36='Instructions &amp; Reference'!$C$11,Scores!AR36,""))</f>
        <v/>
      </c>
      <c r="M36" s="28" t="str">
        <f t="shared" si="5"/>
        <v/>
      </c>
      <c r="N36" s="28" t="str">
        <f>IF(AR36="","",IF(AA36='Instructions &amp; Reference'!$C$12,Scores!AR36,""))</f>
        <v/>
      </c>
      <c r="O36" s="29" t="str">
        <f t="shared" si="6"/>
        <v/>
      </c>
      <c r="P36" s="29" t="str">
        <f>IF(AR36="","",IF(AA36='Instructions &amp; Reference'!$C$13,Scores!AR36,""))</f>
        <v/>
      </c>
      <c r="Q36" s="28" t="str">
        <f t="shared" si="7"/>
        <v/>
      </c>
      <c r="R36" s="28" t="str">
        <f>IF(AR36="","",IF(AA36='Instructions &amp; Reference'!$C$14,Scores!AR36,""))</f>
        <v/>
      </c>
      <c r="S36" s="29" t="str">
        <f t="shared" si="8"/>
        <v/>
      </c>
      <c r="T36" s="29" t="str">
        <f>IF(AR36="","",IF(AA36='Instructions &amp; Reference'!$C$15,Scores!AR36,""))</f>
        <v/>
      </c>
      <c r="U36" s="28" t="str">
        <f t="shared" si="9"/>
        <v/>
      </c>
      <c r="V36" s="28" t="str">
        <f>IF(AR36="","",IF(AA36='Instructions &amp; Reference'!$C$16,Scores!AR36,""))</f>
        <v/>
      </c>
      <c r="W36" s="29" t="str">
        <f t="shared" si="10"/>
        <v/>
      </c>
      <c r="X36" s="30" t="str">
        <f>IF(AR36="","",IF(AA36='Instructions &amp; Reference'!$C$17,Scores!AR36,""))</f>
        <v/>
      </c>
      <c r="Z36" s="32" t="str">
        <f>IF('Teams &amp; HM'!A50="","",'Teams &amp; HM'!A50)</f>
        <v/>
      </c>
      <c r="AA36" s="126" t="str">
        <f>IF('Teams &amp; HM'!H55="","",'Teams &amp; HM'!H55)</f>
        <v/>
      </c>
      <c r="AB36" s="126" t="str">
        <f>IF('Teams &amp; HM'!A55="","",'Teams &amp; HM'!A55)</f>
        <v/>
      </c>
      <c r="AC36" s="126" t="str">
        <f>IF('Teams &amp; HM'!B55="","",'Teams &amp; HM'!B55)</f>
        <v/>
      </c>
      <c r="AE36" s="126" t="str">
        <f>IF(Ride!V36="","",Ride!X36)</f>
        <v/>
      </c>
      <c r="AF36" s="126" t="str">
        <f>IF(Run!L36="","",Run!L36)</f>
        <v/>
      </c>
      <c r="AG36" s="126" t="str">
        <f>IF(Shoot!J36="","",Shoot!J36)</f>
        <v/>
      </c>
      <c r="AH36" s="126" t="str">
        <f>IF(Swim!K36="","",Swim!K36)</f>
        <v/>
      </c>
      <c r="AI36" s="126" t="str">
        <f t="shared" si="11"/>
        <v/>
      </c>
      <c r="AK36" s="7"/>
      <c r="AL36" s="58" t="str">
        <f t="shared" si="12"/>
        <v/>
      </c>
      <c r="AN36" s="127" t="str">
        <f>IF('Teams &amp; HM'!Q55="","",'Teams &amp; HM'!Q55)</f>
        <v/>
      </c>
      <c r="AO36" s="127" t="str">
        <f>IF('Teams &amp; HM'!R55="","",'Teams &amp; HM'!R55)</f>
        <v/>
      </c>
      <c r="AP36" s="129"/>
      <c r="AR36" s="59" t="str">
        <f t="shared" si="13"/>
        <v/>
      </c>
      <c r="AT36" s="132"/>
      <c r="AU36" s="121"/>
    </row>
    <row r="37" spans="1:47" x14ac:dyDescent="0.25">
      <c r="A37" s="28" t="str">
        <f t="shared" si="0"/>
        <v/>
      </c>
      <c r="B37" s="28" t="str">
        <f>IF(AR37="","",IF(AA37='Instructions &amp; Reference'!$C$6,Scores!AR37,""))</f>
        <v/>
      </c>
      <c r="C37" s="29" t="str">
        <f>IF(D37="","",RANK(D37,$D$3:$D116,0))</f>
        <v/>
      </c>
      <c r="D37" s="29" t="str">
        <f>IF(AR37="","",IF(AA37='Instructions &amp; Reference'!$C$7,Scores!AR37,""))</f>
        <v/>
      </c>
      <c r="E37" s="28" t="str">
        <f t="shared" si="1"/>
        <v/>
      </c>
      <c r="F37" s="28" t="str">
        <f>IF(AR37="","",IF(AA37='Instructions &amp; Reference'!$C$8,Scores!AR37,""))</f>
        <v/>
      </c>
      <c r="G37" s="29" t="str">
        <f t="shared" si="2"/>
        <v/>
      </c>
      <c r="H37" s="29" t="str">
        <f>IF(AR37="","",IF(AA37='Instructions &amp; Reference'!$C$9,Scores!AR37,""))</f>
        <v/>
      </c>
      <c r="I37" s="28" t="str">
        <f t="shared" si="3"/>
        <v/>
      </c>
      <c r="J37" s="28" t="str">
        <f>IF(AR37="","",IF(AA37='Instructions &amp; Reference'!$C$10,Scores!AR37,""))</f>
        <v/>
      </c>
      <c r="K37" s="29" t="str">
        <f t="shared" si="4"/>
        <v/>
      </c>
      <c r="L37" s="29" t="str">
        <f>IF(AR37="","",IF(AA37='Instructions &amp; Reference'!$C$11,Scores!AR37,""))</f>
        <v/>
      </c>
      <c r="M37" s="28" t="str">
        <f t="shared" si="5"/>
        <v/>
      </c>
      <c r="N37" s="28" t="str">
        <f>IF(AR37="","",IF(AA37='Instructions &amp; Reference'!$C$12,Scores!AR37,""))</f>
        <v/>
      </c>
      <c r="O37" s="29" t="str">
        <f t="shared" si="6"/>
        <v/>
      </c>
      <c r="P37" s="29" t="str">
        <f>IF(AR37="","",IF(AA37='Instructions &amp; Reference'!$C$13,Scores!AR37,""))</f>
        <v/>
      </c>
      <c r="Q37" s="28" t="str">
        <f t="shared" si="7"/>
        <v/>
      </c>
      <c r="R37" s="28" t="str">
        <f>IF(AR37="","",IF(AA37='Instructions &amp; Reference'!$C$14,Scores!AR37,""))</f>
        <v/>
      </c>
      <c r="S37" s="29" t="str">
        <f t="shared" si="8"/>
        <v/>
      </c>
      <c r="T37" s="29" t="str">
        <f>IF(AR37="","",IF(AA37='Instructions &amp; Reference'!$C$15,Scores!AR37,""))</f>
        <v/>
      </c>
      <c r="U37" s="28" t="str">
        <f t="shared" si="9"/>
        <v/>
      </c>
      <c r="V37" s="28" t="str">
        <f>IF(AR37="","",IF(AA37='Instructions &amp; Reference'!$C$16,Scores!AR37,""))</f>
        <v/>
      </c>
      <c r="W37" s="29" t="str">
        <f t="shared" si="10"/>
        <v/>
      </c>
      <c r="X37" s="30" t="str">
        <f>IF(AR37="","",IF(AA37='Instructions &amp; Reference'!$C$17,Scores!AR37,""))</f>
        <v/>
      </c>
      <c r="Z37" s="32" t="str">
        <f>IF('Teams &amp; HM'!A50="","",'Teams &amp; HM'!A50)</f>
        <v/>
      </c>
      <c r="AA37" s="126" t="str">
        <f>IF('Teams &amp; HM'!H56="","",'Teams &amp; HM'!H56)</f>
        <v/>
      </c>
      <c r="AB37" s="126" t="str">
        <f>IF('Teams &amp; HM'!A56="","",'Teams &amp; HM'!A56)</f>
        <v/>
      </c>
      <c r="AC37" s="126" t="str">
        <f>IF('Teams &amp; HM'!B56="","",'Teams &amp; HM'!B56)</f>
        <v/>
      </c>
      <c r="AE37" s="126" t="str">
        <f>IF(Ride!V37="","",Ride!X37)</f>
        <v/>
      </c>
      <c r="AF37" s="126" t="str">
        <f>IF(Run!L37="","",Run!L37)</f>
        <v/>
      </c>
      <c r="AG37" s="126" t="str">
        <f>IF(Shoot!J37="","",Shoot!J37)</f>
        <v/>
      </c>
      <c r="AH37" s="126" t="str">
        <f>IF(Swim!K37="","",Swim!K37)</f>
        <v/>
      </c>
      <c r="AI37" s="126" t="str">
        <f t="shared" si="11"/>
        <v/>
      </c>
      <c r="AK37" s="7"/>
      <c r="AL37" s="58" t="str">
        <f t="shared" si="12"/>
        <v/>
      </c>
      <c r="AN37" s="127" t="str">
        <f>IF('Teams &amp; HM'!Q56="","",'Teams &amp; HM'!Q56)</f>
        <v/>
      </c>
      <c r="AO37" s="127" t="str">
        <f>IF('Teams &amp; HM'!R56="","",'Teams &amp; HM'!R56)</f>
        <v/>
      </c>
      <c r="AP37" s="130"/>
      <c r="AR37" s="59" t="str">
        <f t="shared" si="13"/>
        <v/>
      </c>
      <c r="AT37" s="133"/>
      <c r="AU37" s="122"/>
    </row>
    <row r="38" spans="1:47" x14ac:dyDescent="0.25">
      <c r="A38" s="28" t="str">
        <f t="shared" si="0"/>
        <v/>
      </c>
      <c r="B38" s="28" t="str">
        <f>IF(AR38="","",IF(AA38='Instructions &amp; Reference'!$C$6,Scores!AR38,""))</f>
        <v/>
      </c>
      <c r="C38" s="29" t="str">
        <f>IF(D38="","",RANK(D38,$D$3:$D117,0))</f>
        <v/>
      </c>
      <c r="D38" s="29" t="str">
        <f>IF(AR38="","",IF(AA38='Instructions &amp; Reference'!$C$7,Scores!AR38,""))</f>
        <v/>
      </c>
      <c r="E38" s="28" t="str">
        <f t="shared" si="1"/>
        <v/>
      </c>
      <c r="F38" s="28" t="str">
        <f>IF(AR38="","",IF(AA38='Instructions &amp; Reference'!$C$8,Scores!AR38,""))</f>
        <v/>
      </c>
      <c r="G38" s="29" t="str">
        <f t="shared" si="2"/>
        <v/>
      </c>
      <c r="H38" s="29" t="str">
        <f>IF(AR38="","",IF(AA38='Instructions &amp; Reference'!$C$9,Scores!AR38,""))</f>
        <v/>
      </c>
      <c r="I38" s="28" t="str">
        <f t="shared" si="3"/>
        <v/>
      </c>
      <c r="J38" s="28" t="str">
        <f>IF(AR38="","",IF(AA38='Instructions &amp; Reference'!$C$10,Scores!AR38,""))</f>
        <v/>
      </c>
      <c r="K38" s="29" t="str">
        <f t="shared" si="4"/>
        <v/>
      </c>
      <c r="L38" s="29" t="str">
        <f>IF(AR38="","",IF(AA38='Instructions &amp; Reference'!$C$11,Scores!AR38,""))</f>
        <v/>
      </c>
      <c r="M38" s="28" t="str">
        <f t="shared" si="5"/>
        <v/>
      </c>
      <c r="N38" s="28" t="str">
        <f>IF(AR38="","",IF(AA38='Instructions &amp; Reference'!$C$12,Scores!AR38,""))</f>
        <v/>
      </c>
      <c r="O38" s="29" t="str">
        <f t="shared" si="6"/>
        <v/>
      </c>
      <c r="P38" s="29" t="str">
        <f>IF(AR38="","",IF(AA38='Instructions &amp; Reference'!$C$13,Scores!AR38,""))</f>
        <v/>
      </c>
      <c r="Q38" s="28" t="str">
        <f t="shared" si="7"/>
        <v/>
      </c>
      <c r="R38" s="28" t="str">
        <f>IF(AR38="","",IF(AA38='Instructions &amp; Reference'!$C$14,Scores!AR38,""))</f>
        <v/>
      </c>
      <c r="S38" s="29" t="str">
        <f t="shared" si="8"/>
        <v/>
      </c>
      <c r="T38" s="29" t="str">
        <f>IF(AR38="","",IF(AA38='Instructions &amp; Reference'!$C$15,Scores!AR38,""))</f>
        <v/>
      </c>
      <c r="U38" s="28" t="str">
        <f t="shared" si="9"/>
        <v/>
      </c>
      <c r="V38" s="28" t="str">
        <f>IF(AR38="","",IF(AA38='Instructions &amp; Reference'!$C$16,Scores!AR38,""))</f>
        <v/>
      </c>
      <c r="W38" s="29" t="str">
        <f t="shared" si="10"/>
        <v/>
      </c>
      <c r="X38" s="30" t="str">
        <f>IF(AR38="","",IF(AA38='Instructions &amp; Reference'!$C$17,Scores!AR38,""))</f>
        <v/>
      </c>
      <c r="Z38" s="32" t="str">
        <f>IF('Teams &amp; HM'!A58="","",'Teams &amp; HM'!A58)</f>
        <v/>
      </c>
      <c r="AA38" s="126" t="str">
        <f>IF('Teams &amp; HM'!H60="","",'Teams &amp; HM'!H60)</f>
        <v/>
      </c>
      <c r="AB38" s="126" t="str">
        <f>IF('Teams &amp; HM'!A60="","",'Teams &amp; HM'!A60)</f>
        <v/>
      </c>
      <c r="AC38" s="126" t="str">
        <f>IF('Teams &amp; HM'!B60="","",'Teams &amp; HM'!B60)</f>
        <v/>
      </c>
      <c r="AE38" s="126" t="str">
        <f>IF(Ride!V38="","",Ride!X38)</f>
        <v/>
      </c>
      <c r="AF38" s="126" t="str">
        <f>IF(Run!L38="","",Run!L38)</f>
        <v/>
      </c>
      <c r="AG38" s="126" t="str">
        <f>IF(Shoot!J38="","",Shoot!J38)</f>
        <v/>
      </c>
      <c r="AH38" s="126" t="str">
        <f>IF(Swim!K38="","",Swim!K38)</f>
        <v/>
      </c>
      <c r="AI38" s="126" t="str">
        <f t="shared" si="11"/>
        <v/>
      </c>
      <c r="AK38" s="7"/>
      <c r="AL38" s="58" t="str">
        <f t="shared" si="12"/>
        <v/>
      </c>
      <c r="AN38" s="127" t="str">
        <f>IF('Teams &amp; HM'!Q60="","",'Teams &amp; HM'!Q60)</f>
        <v/>
      </c>
      <c r="AO38" s="127" t="str">
        <f>IF('Teams &amp; HM'!R60="","",'Teams &amp; HM'!R60)</f>
        <v/>
      </c>
      <c r="AP38" s="128">
        <f>IF('Teams &amp; HM'!T60="","",'Teams &amp; HM'!T60)</f>
        <v>0</v>
      </c>
      <c r="AR38" s="59" t="str">
        <f t="shared" si="13"/>
        <v/>
      </c>
      <c r="AT38" s="131"/>
      <c r="AU38" s="120" t="str">
        <f>IF(AC38="","",SUM(Ride!Y38+Run!M38+Shoot!K38+Swim!L38+AP38+AT38))</f>
        <v/>
      </c>
    </row>
    <row r="39" spans="1:47" x14ac:dyDescent="0.25">
      <c r="A39" s="28" t="str">
        <f t="shared" si="0"/>
        <v/>
      </c>
      <c r="B39" s="28" t="str">
        <f>IF(AR39="","",IF(AA39='Instructions &amp; Reference'!$C$6,Scores!AR39,""))</f>
        <v/>
      </c>
      <c r="C39" s="29" t="str">
        <f>IF(D39="","",RANK(D39,$D$3:$D118,0))</f>
        <v/>
      </c>
      <c r="D39" s="29" t="str">
        <f>IF(AR39="","",IF(AA39='Instructions &amp; Reference'!$C$7,Scores!AR39,""))</f>
        <v/>
      </c>
      <c r="E39" s="28" t="str">
        <f t="shared" si="1"/>
        <v/>
      </c>
      <c r="F39" s="28" t="str">
        <f>IF(AR39="","",IF(AA39='Instructions &amp; Reference'!$C$8,Scores!AR39,""))</f>
        <v/>
      </c>
      <c r="G39" s="29" t="str">
        <f t="shared" si="2"/>
        <v/>
      </c>
      <c r="H39" s="29" t="str">
        <f>IF(AR39="","",IF(AA39='Instructions &amp; Reference'!$C$9,Scores!AR39,""))</f>
        <v/>
      </c>
      <c r="I39" s="28" t="str">
        <f t="shared" si="3"/>
        <v/>
      </c>
      <c r="J39" s="28" t="str">
        <f>IF(AR39="","",IF(AA39='Instructions &amp; Reference'!$C$10,Scores!AR39,""))</f>
        <v/>
      </c>
      <c r="K39" s="29" t="str">
        <f t="shared" si="4"/>
        <v/>
      </c>
      <c r="L39" s="29" t="str">
        <f>IF(AR39="","",IF(AA39='Instructions &amp; Reference'!$C$11,Scores!AR39,""))</f>
        <v/>
      </c>
      <c r="M39" s="28" t="str">
        <f t="shared" si="5"/>
        <v/>
      </c>
      <c r="N39" s="28" t="str">
        <f>IF(AR39="","",IF(AA39='Instructions &amp; Reference'!$C$12,Scores!AR39,""))</f>
        <v/>
      </c>
      <c r="O39" s="29" t="str">
        <f t="shared" si="6"/>
        <v/>
      </c>
      <c r="P39" s="29" t="str">
        <f>IF(AR39="","",IF(AA39='Instructions &amp; Reference'!$C$13,Scores!AR39,""))</f>
        <v/>
      </c>
      <c r="Q39" s="28" t="str">
        <f t="shared" si="7"/>
        <v/>
      </c>
      <c r="R39" s="28" t="str">
        <f>IF(AR39="","",IF(AA39='Instructions &amp; Reference'!$C$14,Scores!AR39,""))</f>
        <v/>
      </c>
      <c r="S39" s="29" t="str">
        <f t="shared" si="8"/>
        <v/>
      </c>
      <c r="T39" s="29" t="str">
        <f>IF(AR39="","",IF(AA39='Instructions &amp; Reference'!$C$15,Scores!AR39,""))</f>
        <v/>
      </c>
      <c r="U39" s="28" t="str">
        <f t="shared" si="9"/>
        <v/>
      </c>
      <c r="V39" s="28" t="str">
        <f>IF(AR39="","",IF(AA39='Instructions &amp; Reference'!$C$16,Scores!AR39,""))</f>
        <v/>
      </c>
      <c r="W39" s="29" t="str">
        <f t="shared" si="10"/>
        <v/>
      </c>
      <c r="X39" s="30" t="str">
        <f>IF(AR39="","",IF(AA39='Instructions &amp; Reference'!$C$17,Scores!AR39,""))</f>
        <v/>
      </c>
      <c r="Z39" s="32" t="str">
        <f>IF('Teams &amp; HM'!A58="","",'Teams &amp; HM'!A58)</f>
        <v/>
      </c>
      <c r="AA39" s="126" t="str">
        <f>IF('Teams &amp; HM'!H61="","",'Teams &amp; HM'!H61)</f>
        <v/>
      </c>
      <c r="AB39" s="126" t="str">
        <f>IF('Teams &amp; HM'!A61="","",'Teams &amp; HM'!A61)</f>
        <v/>
      </c>
      <c r="AC39" s="126" t="str">
        <f>IF('Teams &amp; HM'!B61="","",'Teams &amp; HM'!B61)</f>
        <v/>
      </c>
      <c r="AE39" s="126" t="str">
        <f>IF(Ride!V39="","",Ride!X39)</f>
        <v/>
      </c>
      <c r="AF39" s="126" t="str">
        <f>IF(Run!L39="","",Run!L39)</f>
        <v/>
      </c>
      <c r="AG39" s="126" t="str">
        <f>IF(Shoot!J39="","",Shoot!J39)</f>
        <v/>
      </c>
      <c r="AH39" s="126" t="str">
        <f>IF(Swim!K39="","",Swim!K39)</f>
        <v/>
      </c>
      <c r="AI39" s="126" t="str">
        <f t="shared" si="11"/>
        <v/>
      </c>
      <c r="AK39" s="7"/>
      <c r="AL39" s="58" t="str">
        <f t="shared" si="12"/>
        <v/>
      </c>
      <c r="AN39" s="127" t="str">
        <f>IF('Teams &amp; HM'!Q61="","",'Teams &amp; HM'!Q61)</f>
        <v/>
      </c>
      <c r="AO39" s="127" t="str">
        <f>IF('Teams &amp; HM'!R61="","",'Teams &amp; HM'!R61)</f>
        <v/>
      </c>
      <c r="AP39" s="129"/>
      <c r="AR39" s="59" t="str">
        <f t="shared" si="13"/>
        <v/>
      </c>
      <c r="AT39" s="132"/>
      <c r="AU39" s="121"/>
    </row>
    <row r="40" spans="1:47" x14ac:dyDescent="0.25">
      <c r="A40" s="28" t="str">
        <f t="shared" si="0"/>
        <v/>
      </c>
      <c r="B40" s="28" t="str">
        <f>IF(AR40="","",IF(AA40='Instructions &amp; Reference'!$C$6,Scores!AR40,""))</f>
        <v/>
      </c>
      <c r="C40" s="29" t="str">
        <f>IF(D40="","",RANK(D40,$D$3:$D119,0))</f>
        <v/>
      </c>
      <c r="D40" s="29" t="str">
        <f>IF(AR40="","",IF(AA40='Instructions &amp; Reference'!$C$7,Scores!AR40,""))</f>
        <v/>
      </c>
      <c r="E40" s="28" t="str">
        <f t="shared" si="1"/>
        <v/>
      </c>
      <c r="F40" s="28" t="str">
        <f>IF(AR40="","",IF(AA40='Instructions &amp; Reference'!$C$8,Scores!AR40,""))</f>
        <v/>
      </c>
      <c r="G40" s="29" t="str">
        <f t="shared" si="2"/>
        <v/>
      </c>
      <c r="H40" s="29" t="str">
        <f>IF(AR40="","",IF(AA40='Instructions &amp; Reference'!$C$9,Scores!AR40,""))</f>
        <v/>
      </c>
      <c r="I40" s="28" t="str">
        <f t="shared" si="3"/>
        <v/>
      </c>
      <c r="J40" s="28" t="str">
        <f>IF(AR40="","",IF(AA40='Instructions &amp; Reference'!$C$10,Scores!AR40,""))</f>
        <v/>
      </c>
      <c r="K40" s="29" t="str">
        <f t="shared" si="4"/>
        <v/>
      </c>
      <c r="L40" s="29" t="str">
        <f>IF(AR40="","",IF(AA40='Instructions &amp; Reference'!$C$11,Scores!AR40,""))</f>
        <v/>
      </c>
      <c r="M40" s="28" t="str">
        <f t="shared" si="5"/>
        <v/>
      </c>
      <c r="N40" s="28" t="str">
        <f>IF(AR40="","",IF(AA40='Instructions &amp; Reference'!$C$12,Scores!AR40,""))</f>
        <v/>
      </c>
      <c r="O40" s="29" t="str">
        <f t="shared" si="6"/>
        <v/>
      </c>
      <c r="P40" s="29" t="str">
        <f>IF(AR40="","",IF(AA40='Instructions &amp; Reference'!$C$13,Scores!AR40,""))</f>
        <v/>
      </c>
      <c r="Q40" s="28" t="str">
        <f t="shared" si="7"/>
        <v/>
      </c>
      <c r="R40" s="28" t="str">
        <f>IF(AR40="","",IF(AA40='Instructions &amp; Reference'!$C$14,Scores!AR40,""))</f>
        <v/>
      </c>
      <c r="S40" s="29" t="str">
        <f t="shared" si="8"/>
        <v/>
      </c>
      <c r="T40" s="29" t="str">
        <f>IF(AR40="","",IF(AA40='Instructions &amp; Reference'!$C$15,Scores!AR40,""))</f>
        <v/>
      </c>
      <c r="U40" s="28" t="str">
        <f t="shared" si="9"/>
        <v/>
      </c>
      <c r="V40" s="28" t="str">
        <f>IF(AR40="","",IF(AA40='Instructions &amp; Reference'!$C$16,Scores!AR40,""))</f>
        <v/>
      </c>
      <c r="W40" s="29" t="str">
        <f t="shared" si="10"/>
        <v/>
      </c>
      <c r="X40" s="30" t="str">
        <f>IF(AR40="","",IF(AA40='Instructions &amp; Reference'!$C$17,Scores!AR40,""))</f>
        <v/>
      </c>
      <c r="Z40" s="32" t="str">
        <f>IF('Teams &amp; HM'!A58="","",'Teams &amp; HM'!A58)</f>
        <v/>
      </c>
      <c r="AA40" s="126" t="str">
        <f>IF('Teams &amp; HM'!H62="","",'Teams &amp; HM'!H62)</f>
        <v/>
      </c>
      <c r="AB40" s="126" t="str">
        <f>IF('Teams &amp; HM'!A62="","",'Teams &amp; HM'!A62)</f>
        <v/>
      </c>
      <c r="AC40" s="126" t="str">
        <f>IF('Teams &amp; HM'!B62="","",'Teams &amp; HM'!B62)</f>
        <v/>
      </c>
      <c r="AE40" s="126" t="str">
        <f>IF(Ride!V40="","",Ride!X40)</f>
        <v/>
      </c>
      <c r="AF40" s="126" t="str">
        <f>IF(Run!L40="","",Run!L40)</f>
        <v/>
      </c>
      <c r="AG40" s="126" t="str">
        <f>IF(Shoot!J40="","",Shoot!J40)</f>
        <v/>
      </c>
      <c r="AH40" s="126" t="str">
        <f>IF(Swim!K40="","",Swim!K40)</f>
        <v/>
      </c>
      <c r="AI40" s="126" t="str">
        <f t="shared" si="11"/>
        <v/>
      </c>
      <c r="AK40" s="7"/>
      <c r="AL40" s="58" t="str">
        <f t="shared" si="12"/>
        <v/>
      </c>
      <c r="AN40" s="127" t="str">
        <f>IF('Teams &amp; HM'!Q62="","",'Teams &amp; HM'!Q62)</f>
        <v/>
      </c>
      <c r="AO40" s="127" t="str">
        <f>IF('Teams &amp; HM'!R62="","",'Teams &amp; HM'!R62)</f>
        <v/>
      </c>
      <c r="AP40" s="129"/>
      <c r="AR40" s="59" t="str">
        <f t="shared" si="13"/>
        <v/>
      </c>
      <c r="AT40" s="132"/>
      <c r="AU40" s="121"/>
    </row>
    <row r="41" spans="1:47" x14ac:dyDescent="0.25">
      <c r="A41" s="28" t="str">
        <f t="shared" si="0"/>
        <v/>
      </c>
      <c r="B41" s="28" t="str">
        <f>IF(AR41="","",IF(AA41='Instructions &amp; Reference'!$C$6,Scores!AR41,""))</f>
        <v/>
      </c>
      <c r="C41" s="29" t="str">
        <f>IF(D41="","",RANK(D41,$D$3:$D120,0))</f>
        <v/>
      </c>
      <c r="D41" s="29" t="str">
        <f>IF(AR41="","",IF(AA41='Instructions &amp; Reference'!$C$7,Scores!AR41,""))</f>
        <v/>
      </c>
      <c r="E41" s="28" t="str">
        <f t="shared" si="1"/>
        <v/>
      </c>
      <c r="F41" s="28" t="str">
        <f>IF(AR41="","",IF(AA41='Instructions &amp; Reference'!$C$8,Scores!AR41,""))</f>
        <v/>
      </c>
      <c r="G41" s="29" t="str">
        <f t="shared" si="2"/>
        <v/>
      </c>
      <c r="H41" s="29" t="str">
        <f>IF(AR41="","",IF(AA41='Instructions &amp; Reference'!$C$9,Scores!AR41,""))</f>
        <v/>
      </c>
      <c r="I41" s="28" t="str">
        <f t="shared" si="3"/>
        <v/>
      </c>
      <c r="J41" s="28" t="str">
        <f>IF(AR41="","",IF(AA41='Instructions &amp; Reference'!$C$10,Scores!AR41,""))</f>
        <v/>
      </c>
      <c r="K41" s="29" t="str">
        <f t="shared" si="4"/>
        <v/>
      </c>
      <c r="L41" s="29" t="str">
        <f>IF(AR41="","",IF(AA41='Instructions &amp; Reference'!$C$11,Scores!AR41,""))</f>
        <v/>
      </c>
      <c r="M41" s="28" t="str">
        <f t="shared" si="5"/>
        <v/>
      </c>
      <c r="N41" s="28" t="str">
        <f>IF(AR41="","",IF(AA41='Instructions &amp; Reference'!$C$12,Scores!AR41,""))</f>
        <v/>
      </c>
      <c r="O41" s="29" t="str">
        <f t="shared" si="6"/>
        <v/>
      </c>
      <c r="P41" s="29" t="str">
        <f>IF(AR41="","",IF(AA41='Instructions &amp; Reference'!$C$13,Scores!AR41,""))</f>
        <v/>
      </c>
      <c r="Q41" s="28" t="str">
        <f t="shared" si="7"/>
        <v/>
      </c>
      <c r="R41" s="28" t="str">
        <f>IF(AR41="","",IF(AA41='Instructions &amp; Reference'!$C$14,Scores!AR41,""))</f>
        <v/>
      </c>
      <c r="S41" s="29" t="str">
        <f t="shared" si="8"/>
        <v/>
      </c>
      <c r="T41" s="29" t="str">
        <f>IF(AR41="","",IF(AA41='Instructions &amp; Reference'!$C$15,Scores!AR41,""))</f>
        <v/>
      </c>
      <c r="U41" s="28" t="str">
        <f t="shared" si="9"/>
        <v/>
      </c>
      <c r="V41" s="28" t="str">
        <f>IF(AR41="","",IF(AA41='Instructions &amp; Reference'!$C$16,Scores!AR41,""))</f>
        <v/>
      </c>
      <c r="W41" s="29" t="str">
        <f t="shared" si="10"/>
        <v/>
      </c>
      <c r="X41" s="30" t="str">
        <f>IF(AR41="","",IF(AA41='Instructions &amp; Reference'!$C$17,Scores!AR41,""))</f>
        <v/>
      </c>
      <c r="Z41" s="32" t="str">
        <f>IF('Teams &amp; HM'!A58="","",'Teams &amp; HM'!A58)</f>
        <v/>
      </c>
      <c r="AA41" s="126" t="str">
        <f>IF('Teams &amp; HM'!H63="","",'Teams &amp; HM'!H63)</f>
        <v/>
      </c>
      <c r="AB41" s="126" t="str">
        <f>IF('Teams &amp; HM'!A63="","",'Teams &amp; HM'!A63)</f>
        <v/>
      </c>
      <c r="AC41" s="126" t="str">
        <f>IF('Teams &amp; HM'!B63="","",'Teams &amp; HM'!B63)</f>
        <v/>
      </c>
      <c r="AE41" s="126" t="str">
        <f>IF(Ride!V41="","",Ride!X41)</f>
        <v/>
      </c>
      <c r="AF41" s="126" t="str">
        <f>IF(Run!L41="","",Run!L41)</f>
        <v/>
      </c>
      <c r="AG41" s="126" t="str">
        <f>IF(Shoot!J41="","",Shoot!J41)</f>
        <v/>
      </c>
      <c r="AH41" s="126" t="str">
        <f>IF(Swim!K41="","",Swim!K41)</f>
        <v/>
      </c>
      <c r="AI41" s="126" t="str">
        <f t="shared" si="11"/>
        <v/>
      </c>
      <c r="AK41" s="7"/>
      <c r="AL41" s="58" t="str">
        <f t="shared" si="12"/>
        <v/>
      </c>
      <c r="AN41" s="127" t="str">
        <f>IF('Teams &amp; HM'!Q63="","",'Teams &amp; HM'!Q63)</f>
        <v/>
      </c>
      <c r="AO41" s="127" t="str">
        <f>IF('Teams &amp; HM'!R63="","",'Teams &amp; HM'!R63)</f>
        <v/>
      </c>
      <c r="AP41" s="129"/>
      <c r="AR41" s="59" t="str">
        <f t="shared" si="13"/>
        <v/>
      </c>
      <c r="AT41" s="132"/>
      <c r="AU41" s="121"/>
    </row>
    <row r="42" spans="1:47" x14ac:dyDescent="0.25">
      <c r="A42" s="28" t="str">
        <f t="shared" si="0"/>
        <v/>
      </c>
      <c r="B42" s="28" t="str">
        <f>IF(AR42="","",IF(AA42='Instructions &amp; Reference'!$C$6,Scores!AR42,""))</f>
        <v/>
      </c>
      <c r="C42" s="29" t="str">
        <f>IF(D42="","",RANK(D42,$D$3:$D121,0))</f>
        <v/>
      </c>
      <c r="D42" s="29" t="str">
        <f>IF(AR42="","",IF(AA42='Instructions &amp; Reference'!$C$7,Scores!AR42,""))</f>
        <v/>
      </c>
      <c r="E42" s="28" t="str">
        <f t="shared" si="1"/>
        <v/>
      </c>
      <c r="F42" s="28" t="str">
        <f>IF(AR42="","",IF(AA42='Instructions &amp; Reference'!$C$8,Scores!AR42,""))</f>
        <v/>
      </c>
      <c r="G42" s="29" t="str">
        <f t="shared" si="2"/>
        <v/>
      </c>
      <c r="H42" s="29" t="str">
        <f>IF(AR42="","",IF(AA42='Instructions &amp; Reference'!$C$9,Scores!AR42,""))</f>
        <v/>
      </c>
      <c r="I42" s="28" t="str">
        <f t="shared" si="3"/>
        <v/>
      </c>
      <c r="J42" s="28" t="str">
        <f>IF(AR42="","",IF(AA42='Instructions &amp; Reference'!$C$10,Scores!AR42,""))</f>
        <v/>
      </c>
      <c r="K42" s="29" t="str">
        <f t="shared" si="4"/>
        <v/>
      </c>
      <c r="L42" s="29" t="str">
        <f>IF(AR42="","",IF(AA42='Instructions &amp; Reference'!$C$11,Scores!AR42,""))</f>
        <v/>
      </c>
      <c r="M42" s="28" t="str">
        <f t="shared" si="5"/>
        <v/>
      </c>
      <c r="N42" s="28" t="str">
        <f>IF(AR42="","",IF(AA42='Instructions &amp; Reference'!$C$12,Scores!AR42,""))</f>
        <v/>
      </c>
      <c r="O42" s="29" t="str">
        <f t="shared" si="6"/>
        <v/>
      </c>
      <c r="P42" s="29" t="str">
        <f>IF(AR42="","",IF(AA42='Instructions &amp; Reference'!$C$13,Scores!AR42,""))</f>
        <v/>
      </c>
      <c r="Q42" s="28" t="str">
        <f t="shared" si="7"/>
        <v/>
      </c>
      <c r="R42" s="28" t="str">
        <f>IF(AR42="","",IF(AA42='Instructions &amp; Reference'!$C$14,Scores!AR42,""))</f>
        <v/>
      </c>
      <c r="S42" s="29" t="str">
        <f t="shared" si="8"/>
        <v/>
      </c>
      <c r="T42" s="29" t="str">
        <f>IF(AR42="","",IF(AA42='Instructions &amp; Reference'!$C$15,Scores!AR42,""))</f>
        <v/>
      </c>
      <c r="U42" s="28" t="str">
        <f t="shared" si="9"/>
        <v/>
      </c>
      <c r="V42" s="28" t="str">
        <f>IF(AR42="","",IF(AA42='Instructions &amp; Reference'!$C$16,Scores!AR42,""))</f>
        <v/>
      </c>
      <c r="W42" s="29" t="str">
        <f t="shared" si="10"/>
        <v/>
      </c>
      <c r="X42" s="30" t="str">
        <f>IF(AR42="","",IF(AA42='Instructions &amp; Reference'!$C$17,Scores!AR42,""))</f>
        <v/>
      </c>
      <c r="Z42" s="32" t="str">
        <f>IF('Teams &amp; HM'!A58="","",'Teams &amp; HM'!A58)</f>
        <v/>
      </c>
      <c r="AA42" s="126" t="str">
        <f>IF('Teams &amp; HM'!H64="","",'Teams &amp; HM'!H64)</f>
        <v/>
      </c>
      <c r="AB42" s="126" t="str">
        <f>IF('Teams &amp; HM'!A64="","",'Teams &amp; HM'!A64)</f>
        <v/>
      </c>
      <c r="AC42" s="126" t="str">
        <f>IF('Teams &amp; HM'!B64="","",'Teams &amp; HM'!B64)</f>
        <v/>
      </c>
      <c r="AE42" s="126" t="str">
        <f>IF(Ride!V42="","",Ride!X42)</f>
        <v/>
      </c>
      <c r="AF42" s="126" t="str">
        <f>IF(Run!L42="","",Run!L42)</f>
        <v/>
      </c>
      <c r="AG42" s="126" t="str">
        <f>IF(Shoot!J42="","",Shoot!J42)</f>
        <v/>
      </c>
      <c r="AH42" s="126" t="str">
        <f>IF(Swim!K42="","",Swim!K42)</f>
        <v/>
      </c>
      <c r="AI42" s="126" t="str">
        <f t="shared" si="11"/>
        <v/>
      </c>
      <c r="AK42" s="7"/>
      <c r="AL42" s="58" t="str">
        <f t="shared" si="12"/>
        <v/>
      </c>
      <c r="AN42" s="127" t="str">
        <f>IF('Teams &amp; HM'!Q64="","",'Teams &amp; HM'!Q64)</f>
        <v/>
      </c>
      <c r="AO42" s="127" t="str">
        <f>IF('Teams &amp; HM'!R64="","",'Teams &amp; HM'!R64)</f>
        <v/>
      </c>
      <c r="AP42" s="130"/>
      <c r="AR42" s="59" t="str">
        <f t="shared" si="13"/>
        <v/>
      </c>
      <c r="AT42" s="133"/>
      <c r="AU42" s="122"/>
    </row>
    <row r="43" spans="1:47" x14ac:dyDescent="0.25">
      <c r="A43" s="28" t="str">
        <f t="shared" si="0"/>
        <v/>
      </c>
      <c r="B43" s="28" t="str">
        <f>IF(AR43="","",IF(AA43='Instructions &amp; Reference'!$C$6,Scores!AR43,""))</f>
        <v/>
      </c>
      <c r="C43" s="29" t="str">
        <f>IF(D43="","",RANK(D43,$D$3:$D122,0))</f>
        <v/>
      </c>
      <c r="D43" s="29" t="str">
        <f>IF(AR43="","",IF(AA43='Instructions &amp; Reference'!$C$7,Scores!AR43,""))</f>
        <v/>
      </c>
      <c r="E43" s="28" t="str">
        <f t="shared" si="1"/>
        <v/>
      </c>
      <c r="F43" s="28" t="str">
        <f>IF(AR43="","",IF(AA43='Instructions &amp; Reference'!$C$8,Scores!AR43,""))</f>
        <v/>
      </c>
      <c r="G43" s="29" t="str">
        <f t="shared" si="2"/>
        <v/>
      </c>
      <c r="H43" s="29" t="str">
        <f>IF(AR43="","",IF(AA43='Instructions &amp; Reference'!$C$9,Scores!AR43,""))</f>
        <v/>
      </c>
      <c r="I43" s="28" t="str">
        <f t="shared" si="3"/>
        <v/>
      </c>
      <c r="J43" s="28" t="str">
        <f>IF(AR43="","",IF(AA43='Instructions &amp; Reference'!$C$10,Scores!AR43,""))</f>
        <v/>
      </c>
      <c r="K43" s="29" t="str">
        <f t="shared" si="4"/>
        <v/>
      </c>
      <c r="L43" s="29" t="str">
        <f>IF(AR43="","",IF(AA43='Instructions &amp; Reference'!$C$11,Scores!AR43,""))</f>
        <v/>
      </c>
      <c r="M43" s="28" t="str">
        <f t="shared" si="5"/>
        <v/>
      </c>
      <c r="N43" s="28" t="str">
        <f>IF(AR43="","",IF(AA43='Instructions &amp; Reference'!$C$12,Scores!AR43,""))</f>
        <v/>
      </c>
      <c r="O43" s="29" t="str">
        <f t="shared" si="6"/>
        <v/>
      </c>
      <c r="P43" s="29" t="str">
        <f>IF(AR43="","",IF(AA43='Instructions &amp; Reference'!$C$13,Scores!AR43,""))</f>
        <v/>
      </c>
      <c r="Q43" s="28" t="str">
        <f t="shared" si="7"/>
        <v/>
      </c>
      <c r="R43" s="28" t="str">
        <f>IF(AR43="","",IF(AA43='Instructions &amp; Reference'!$C$14,Scores!AR43,""))</f>
        <v/>
      </c>
      <c r="S43" s="29" t="str">
        <f t="shared" si="8"/>
        <v/>
      </c>
      <c r="T43" s="29" t="str">
        <f>IF(AR43="","",IF(AA43='Instructions &amp; Reference'!$C$15,Scores!AR43,""))</f>
        <v/>
      </c>
      <c r="U43" s="28" t="str">
        <f t="shared" si="9"/>
        <v/>
      </c>
      <c r="V43" s="28" t="str">
        <f>IF(AR43="","",IF(AA43='Instructions &amp; Reference'!$C$16,Scores!AR43,""))</f>
        <v/>
      </c>
      <c r="W43" s="29" t="str">
        <f t="shared" si="10"/>
        <v/>
      </c>
      <c r="X43" s="30" t="str">
        <f>IF(AR43="","",IF(AA43='Instructions &amp; Reference'!$C$17,Scores!AR43,""))</f>
        <v/>
      </c>
      <c r="Z43" s="32" t="str">
        <f>IF('Teams &amp; HM'!A66="","",'Teams &amp; HM'!A66)</f>
        <v/>
      </c>
      <c r="AA43" s="126" t="str">
        <f>IF('Teams &amp; HM'!H68="","",'Teams &amp; HM'!H68)</f>
        <v/>
      </c>
      <c r="AB43" s="126" t="str">
        <f>IF('Teams &amp; HM'!A68="","",'Teams &amp; HM'!A68)</f>
        <v/>
      </c>
      <c r="AC43" s="126" t="str">
        <f>IF('Teams &amp; HM'!B68="","",'Teams &amp; HM'!B68)</f>
        <v/>
      </c>
      <c r="AE43" s="126" t="str">
        <f>IF(Ride!V43="","",Ride!X43)</f>
        <v/>
      </c>
      <c r="AF43" s="126" t="str">
        <f>IF(Run!L43="","",Run!L43)</f>
        <v/>
      </c>
      <c r="AG43" s="126" t="str">
        <f>IF(Shoot!J43="","",Shoot!J43)</f>
        <v/>
      </c>
      <c r="AH43" s="126" t="str">
        <f>IF(Swim!K43="","",Swim!K43)</f>
        <v/>
      </c>
      <c r="AI43" s="126" t="str">
        <f t="shared" si="11"/>
        <v/>
      </c>
      <c r="AK43" s="7"/>
      <c r="AL43" s="58" t="str">
        <f t="shared" si="12"/>
        <v/>
      </c>
      <c r="AN43" s="127" t="str">
        <f>IF('Teams &amp; HM'!Q68="","",'Teams &amp; HM'!Q68)</f>
        <v/>
      </c>
      <c r="AO43" s="127" t="str">
        <f>IF('Teams &amp; HM'!R68="","",'Teams &amp; HM'!R68)</f>
        <v/>
      </c>
      <c r="AP43" s="128">
        <f>IF('Teams &amp; HM'!T68="","",'Teams &amp; HM'!T68)</f>
        <v>0</v>
      </c>
      <c r="AR43" s="59" t="str">
        <f t="shared" si="13"/>
        <v/>
      </c>
      <c r="AT43" s="131"/>
      <c r="AU43" s="120" t="str">
        <f>IF(AC43="","",SUM(Ride!Y43+Run!M43+Shoot!K43+Swim!L43+AP43+AT43))</f>
        <v/>
      </c>
    </row>
    <row r="44" spans="1:47" x14ac:dyDescent="0.25">
      <c r="A44" s="28" t="str">
        <f t="shared" si="0"/>
        <v/>
      </c>
      <c r="B44" s="28" t="str">
        <f>IF(AR44="","",IF(AA44='Instructions &amp; Reference'!$C$6,Scores!AR44,""))</f>
        <v/>
      </c>
      <c r="C44" s="29" t="str">
        <f>IF(D44="","",RANK(D44,$D$3:$D123,0))</f>
        <v/>
      </c>
      <c r="D44" s="29" t="str">
        <f>IF(AR44="","",IF(AA44='Instructions &amp; Reference'!$C$7,Scores!AR44,""))</f>
        <v/>
      </c>
      <c r="E44" s="28" t="str">
        <f t="shared" si="1"/>
        <v/>
      </c>
      <c r="F44" s="28" t="str">
        <f>IF(AR44="","",IF(AA44='Instructions &amp; Reference'!$C$8,Scores!AR44,""))</f>
        <v/>
      </c>
      <c r="G44" s="29" t="str">
        <f t="shared" si="2"/>
        <v/>
      </c>
      <c r="H44" s="29" t="str">
        <f>IF(AR44="","",IF(AA44='Instructions &amp; Reference'!$C$9,Scores!AR44,""))</f>
        <v/>
      </c>
      <c r="I44" s="28" t="str">
        <f t="shared" si="3"/>
        <v/>
      </c>
      <c r="J44" s="28" t="str">
        <f>IF(AR44="","",IF(AA44='Instructions &amp; Reference'!$C$10,Scores!AR44,""))</f>
        <v/>
      </c>
      <c r="K44" s="29" t="str">
        <f t="shared" si="4"/>
        <v/>
      </c>
      <c r="L44" s="29" t="str">
        <f>IF(AR44="","",IF(AA44='Instructions &amp; Reference'!$C$11,Scores!AR44,""))</f>
        <v/>
      </c>
      <c r="M44" s="28" t="str">
        <f t="shared" si="5"/>
        <v/>
      </c>
      <c r="N44" s="28" t="str">
        <f>IF(AR44="","",IF(AA44='Instructions &amp; Reference'!$C$12,Scores!AR44,""))</f>
        <v/>
      </c>
      <c r="O44" s="29" t="str">
        <f t="shared" si="6"/>
        <v/>
      </c>
      <c r="P44" s="29" t="str">
        <f>IF(AR44="","",IF(AA44='Instructions &amp; Reference'!$C$13,Scores!AR44,""))</f>
        <v/>
      </c>
      <c r="Q44" s="28" t="str">
        <f t="shared" si="7"/>
        <v/>
      </c>
      <c r="R44" s="28" t="str">
        <f>IF(AR44="","",IF(AA44='Instructions &amp; Reference'!$C$14,Scores!AR44,""))</f>
        <v/>
      </c>
      <c r="S44" s="29" t="str">
        <f t="shared" si="8"/>
        <v/>
      </c>
      <c r="T44" s="29" t="str">
        <f>IF(AR44="","",IF(AA44='Instructions &amp; Reference'!$C$15,Scores!AR44,""))</f>
        <v/>
      </c>
      <c r="U44" s="28" t="str">
        <f t="shared" si="9"/>
        <v/>
      </c>
      <c r="V44" s="28" t="str">
        <f>IF(AR44="","",IF(AA44='Instructions &amp; Reference'!$C$16,Scores!AR44,""))</f>
        <v/>
      </c>
      <c r="W44" s="29" t="str">
        <f t="shared" si="10"/>
        <v/>
      </c>
      <c r="X44" s="30" t="str">
        <f>IF(AR44="","",IF(AA44='Instructions &amp; Reference'!$C$17,Scores!AR44,""))</f>
        <v/>
      </c>
      <c r="Z44" s="32" t="str">
        <f>IF('Teams &amp; HM'!A66="","",'Teams &amp; HM'!A66)</f>
        <v/>
      </c>
      <c r="AA44" s="126" t="str">
        <f>IF('Teams &amp; HM'!H69="","",'Teams &amp; HM'!H69)</f>
        <v/>
      </c>
      <c r="AB44" s="126" t="str">
        <f>IF('Teams &amp; HM'!A69="","",'Teams &amp; HM'!A69)</f>
        <v/>
      </c>
      <c r="AC44" s="126" t="str">
        <f>IF('Teams &amp; HM'!B69="","",'Teams &amp; HM'!B69)</f>
        <v/>
      </c>
      <c r="AE44" s="126" t="str">
        <f>IF(Ride!V44="","",Ride!X44)</f>
        <v/>
      </c>
      <c r="AF44" s="126" t="str">
        <f>IF(Run!L44="","",Run!L44)</f>
        <v/>
      </c>
      <c r="AG44" s="126" t="str">
        <f>IF(Shoot!J44="","",Shoot!J44)</f>
        <v/>
      </c>
      <c r="AH44" s="126" t="str">
        <f>IF(Swim!K44="","",Swim!K44)</f>
        <v/>
      </c>
      <c r="AI44" s="126" t="str">
        <f t="shared" si="11"/>
        <v/>
      </c>
      <c r="AK44" s="7"/>
      <c r="AL44" s="58" t="str">
        <f t="shared" si="12"/>
        <v/>
      </c>
      <c r="AN44" s="127" t="str">
        <f>IF('Teams &amp; HM'!Q69="","",'Teams &amp; HM'!Q69)</f>
        <v/>
      </c>
      <c r="AO44" s="127" t="str">
        <f>IF('Teams &amp; HM'!R69="","",'Teams &amp; HM'!R69)</f>
        <v/>
      </c>
      <c r="AP44" s="129"/>
      <c r="AR44" s="59" t="str">
        <f t="shared" si="13"/>
        <v/>
      </c>
      <c r="AT44" s="132"/>
      <c r="AU44" s="121"/>
    </row>
    <row r="45" spans="1:47" x14ac:dyDescent="0.25">
      <c r="A45" s="28" t="str">
        <f t="shared" si="0"/>
        <v/>
      </c>
      <c r="B45" s="28" t="str">
        <f>IF(AR45="","",IF(AA45='Instructions &amp; Reference'!$C$6,Scores!AR45,""))</f>
        <v/>
      </c>
      <c r="C45" s="29" t="str">
        <f>IF(D45="","",RANK(D45,$D$3:$D124,0))</f>
        <v/>
      </c>
      <c r="D45" s="29" t="str">
        <f>IF(AR45="","",IF(AA45='Instructions &amp; Reference'!$C$7,Scores!AR45,""))</f>
        <v/>
      </c>
      <c r="E45" s="28" t="str">
        <f t="shared" si="1"/>
        <v/>
      </c>
      <c r="F45" s="28" t="str">
        <f>IF(AR45="","",IF(AA45='Instructions &amp; Reference'!$C$8,Scores!AR45,""))</f>
        <v/>
      </c>
      <c r="G45" s="29" t="str">
        <f t="shared" si="2"/>
        <v/>
      </c>
      <c r="H45" s="29" t="str">
        <f>IF(AR45="","",IF(AA45='Instructions &amp; Reference'!$C$9,Scores!AR45,""))</f>
        <v/>
      </c>
      <c r="I45" s="28" t="str">
        <f t="shared" si="3"/>
        <v/>
      </c>
      <c r="J45" s="28" t="str">
        <f>IF(AR45="","",IF(AA45='Instructions &amp; Reference'!$C$10,Scores!AR45,""))</f>
        <v/>
      </c>
      <c r="K45" s="29" t="str">
        <f t="shared" si="4"/>
        <v/>
      </c>
      <c r="L45" s="29" t="str">
        <f>IF(AR45="","",IF(AA45='Instructions &amp; Reference'!$C$11,Scores!AR45,""))</f>
        <v/>
      </c>
      <c r="M45" s="28" t="str">
        <f t="shared" si="5"/>
        <v/>
      </c>
      <c r="N45" s="28" t="str">
        <f>IF(AR45="","",IF(AA45='Instructions &amp; Reference'!$C$12,Scores!AR45,""))</f>
        <v/>
      </c>
      <c r="O45" s="29" t="str">
        <f t="shared" si="6"/>
        <v/>
      </c>
      <c r="P45" s="29" t="str">
        <f>IF(AR45="","",IF(AA45='Instructions &amp; Reference'!$C$13,Scores!AR45,""))</f>
        <v/>
      </c>
      <c r="Q45" s="28" t="str">
        <f t="shared" si="7"/>
        <v/>
      </c>
      <c r="R45" s="28" t="str">
        <f>IF(AR45="","",IF(AA45='Instructions &amp; Reference'!$C$14,Scores!AR45,""))</f>
        <v/>
      </c>
      <c r="S45" s="29" t="str">
        <f t="shared" si="8"/>
        <v/>
      </c>
      <c r="T45" s="29" t="str">
        <f>IF(AR45="","",IF(AA45='Instructions &amp; Reference'!$C$15,Scores!AR45,""))</f>
        <v/>
      </c>
      <c r="U45" s="28" t="str">
        <f t="shared" si="9"/>
        <v/>
      </c>
      <c r="V45" s="28" t="str">
        <f>IF(AR45="","",IF(AA45='Instructions &amp; Reference'!$C$16,Scores!AR45,""))</f>
        <v/>
      </c>
      <c r="W45" s="29" t="str">
        <f t="shared" si="10"/>
        <v/>
      </c>
      <c r="X45" s="30" t="str">
        <f>IF(AR45="","",IF(AA45='Instructions &amp; Reference'!$C$17,Scores!AR45,""))</f>
        <v/>
      </c>
      <c r="Z45" s="32" t="str">
        <f>IF('Teams &amp; HM'!A66="","",'Teams &amp; HM'!A66)</f>
        <v/>
      </c>
      <c r="AA45" s="126" t="str">
        <f>IF('Teams &amp; HM'!H70="","",'Teams &amp; HM'!H70)</f>
        <v/>
      </c>
      <c r="AB45" s="126" t="str">
        <f>IF('Teams &amp; HM'!A70="","",'Teams &amp; HM'!A70)</f>
        <v/>
      </c>
      <c r="AC45" s="126" t="str">
        <f>IF('Teams &amp; HM'!B70="","",'Teams &amp; HM'!B70)</f>
        <v/>
      </c>
      <c r="AE45" s="126" t="str">
        <f>IF(Ride!V45="","",Ride!X45)</f>
        <v/>
      </c>
      <c r="AF45" s="126" t="str">
        <f>IF(Run!L45="","",Run!L45)</f>
        <v/>
      </c>
      <c r="AG45" s="126" t="str">
        <f>IF(Shoot!J45="","",Shoot!J45)</f>
        <v/>
      </c>
      <c r="AH45" s="126" t="str">
        <f>IF(Swim!K45="","",Swim!K45)</f>
        <v/>
      </c>
      <c r="AI45" s="126" t="str">
        <f t="shared" si="11"/>
        <v/>
      </c>
      <c r="AK45" s="7"/>
      <c r="AL45" s="58" t="str">
        <f t="shared" si="12"/>
        <v/>
      </c>
      <c r="AN45" s="127" t="str">
        <f>IF('Teams &amp; HM'!Q70="","",'Teams &amp; HM'!Q70)</f>
        <v/>
      </c>
      <c r="AO45" s="127" t="str">
        <f>IF('Teams &amp; HM'!R70="","",'Teams &amp; HM'!R70)</f>
        <v/>
      </c>
      <c r="AP45" s="129"/>
      <c r="AR45" s="59" t="str">
        <f t="shared" si="13"/>
        <v/>
      </c>
      <c r="AT45" s="132"/>
      <c r="AU45" s="121"/>
    </row>
    <row r="46" spans="1:47" x14ac:dyDescent="0.25">
      <c r="A46" s="28" t="str">
        <f t="shared" si="0"/>
        <v/>
      </c>
      <c r="B46" s="28" t="str">
        <f>IF(AR46="","",IF(AA46='Instructions &amp; Reference'!$C$6,Scores!AR46,""))</f>
        <v/>
      </c>
      <c r="C46" s="29" t="str">
        <f>IF(D46="","",RANK(D46,$D$3:$D125,0))</f>
        <v/>
      </c>
      <c r="D46" s="29" t="str">
        <f>IF(AR46="","",IF(AA46='Instructions &amp; Reference'!$C$7,Scores!AR46,""))</f>
        <v/>
      </c>
      <c r="E46" s="28" t="str">
        <f t="shared" si="1"/>
        <v/>
      </c>
      <c r="F46" s="28" t="str">
        <f>IF(AR46="","",IF(AA46='Instructions &amp; Reference'!$C$8,Scores!AR46,""))</f>
        <v/>
      </c>
      <c r="G46" s="29" t="str">
        <f t="shared" si="2"/>
        <v/>
      </c>
      <c r="H46" s="29" t="str">
        <f>IF(AR46="","",IF(AA46='Instructions &amp; Reference'!$C$9,Scores!AR46,""))</f>
        <v/>
      </c>
      <c r="I46" s="28" t="str">
        <f t="shared" si="3"/>
        <v/>
      </c>
      <c r="J46" s="28" t="str">
        <f>IF(AR46="","",IF(AA46='Instructions &amp; Reference'!$C$10,Scores!AR46,""))</f>
        <v/>
      </c>
      <c r="K46" s="29" t="str">
        <f t="shared" si="4"/>
        <v/>
      </c>
      <c r="L46" s="29" t="str">
        <f>IF(AR46="","",IF(AA46='Instructions &amp; Reference'!$C$11,Scores!AR46,""))</f>
        <v/>
      </c>
      <c r="M46" s="28" t="str">
        <f t="shared" si="5"/>
        <v/>
      </c>
      <c r="N46" s="28" t="str">
        <f>IF(AR46="","",IF(AA46='Instructions &amp; Reference'!$C$12,Scores!AR46,""))</f>
        <v/>
      </c>
      <c r="O46" s="29" t="str">
        <f t="shared" si="6"/>
        <v/>
      </c>
      <c r="P46" s="29" t="str">
        <f>IF(AR46="","",IF(AA46='Instructions &amp; Reference'!$C$13,Scores!AR46,""))</f>
        <v/>
      </c>
      <c r="Q46" s="28" t="str">
        <f t="shared" si="7"/>
        <v/>
      </c>
      <c r="R46" s="28" t="str">
        <f>IF(AR46="","",IF(AA46='Instructions &amp; Reference'!$C$14,Scores!AR46,""))</f>
        <v/>
      </c>
      <c r="S46" s="29" t="str">
        <f t="shared" si="8"/>
        <v/>
      </c>
      <c r="T46" s="29" t="str">
        <f>IF(AR46="","",IF(AA46='Instructions &amp; Reference'!$C$15,Scores!AR46,""))</f>
        <v/>
      </c>
      <c r="U46" s="28" t="str">
        <f t="shared" si="9"/>
        <v/>
      </c>
      <c r="V46" s="28" t="str">
        <f>IF(AR46="","",IF(AA46='Instructions &amp; Reference'!$C$16,Scores!AR46,""))</f>
        <v/>
      </c>
      <c r="W46" s="29" t="str">
        <f t="shared" si="10"/>
        <v/>
      </c>
      <c r="X46" s="30" t="str">
        <f>IF(AR46="","",IF(AA46='Instructions &amp; Reference'!$C$17,Scores!AR46,""))</f>
        <v/>
      </c>
      <c r="Z46" s="32" t="str">
        <f>IF('Teams &amp; HM'!A66="","",'Teams &amp; HM'!A66)</f>
        <v/>
      </c>
      <c r="AA46" s="126" t="str">
        <f>IF('Teams &amp; HM'!H71="","",'Teams &amp; HM'!H71)</f>
        <v/>
      </c>
      <c r="AB46" s="126" t="str">
        <f>IF('Teams &amp; HM'!A71="","",'Teams &amp; HM'!A71)</f>
        <v/>
      </c>
      <c r="AC46" s="126" t="str">
        <f>IF('Teams &amp; HM'!B71="","",'Teams &amp; HM'!B71)</f>
        <v/>
      </c>
      <c r="AE46" s="126" t="str">
        <f>IF(Ride!V46="","",Ride!X46)</f>
        <v/>
      </c>
      <c r="AF46" s="126" t="str">
        <f>IF(Run!L46="","",Run!L46)</f>
        <v/>
      </c>
      <c r="AG46" s="126" t="str">
        <f>IF(Shoot!J46="","",Shoot!J46)</f>
        <v/>
      </c>
      <c r="AH46" s="126" t="str">
        <f>IF(Swim!K46="","",Swim!K46)</f>
        <v/>
      </c>
      <c r="AI46" s="126" t="str">
        <f t="shared" si="11"/>
        <v/>
      </c>
      <c r="AK46" s="7"/>
      <c r="AL46" s="58" t="str">
        <f t="shared" si="12"/>
        <v/>
      </c>
      <c r="AN46" s="127" t="str">
        <f>IF('Teams &amp; HM'!Q71="","",'Teams &amp; HM'!Q71)</f>
        <v/>
      </c>
      <c r="AO46" s="127" t="str">
        <f>IF('Teams &amp; HM'!R71="","",'Teams &amp; HM'!R71)</f>
        <v/>
      </c>
      <c r="AP46" s="129"/>
      <c r="AR46" s="59" t="str">
        <f t="shared" si="13"/>
        <v/>
      </c>
      <c r="AT46" s="132"/>
      <c r="AU46" s="121"/>
    </row>
    <row r="47" spans="1:47" x14ac:dyDescent="0.25">
      <c r="A47" s="28" t="str">
        <f t="shared" si="0"/>
        <v/>
      </c>
      <c r="B47" s="28" t="str">
        <f>IF(AR47="","",IF(AA47='Instructions &amp; Reference'!$C$6,Scores!AR47,""))</f>
        <v/>
      </c>
      <c r="C47" s="29" t="str">
        <f>IF(D47="","",RANK(D47,$D$3:$D126,0))</f>
        <v/>
      </c>
      <c r="D47" s="29" t="str">
        <f>IF(AR47="","",IF(AA47='Instructions &amp; Reference'!$C$7,Scores!AR47,""))</f>
        <v/>
      </c>
      <c r="E47" s="28" t="str">
        <f t="shared" si="1"/>
        <v/>
      </c>
      <c r="F47" s="28" t="str">
        <f>IF(AR47="","",IF(AA47='Instructions &amp; Reference'!$C$8,Scores!AR47,""))</f>
        <v/>
      </c>
      <c r="G47" s="29" t="str">
        <f t="shared" si="2"/>
        <v/>
      </c>
      <c r="H47" s="29" t="str">
        <f>IF(AR47="","",IF(AA47='Instructions &amp; Reference'!$C$9,Scores!AR47,""))</f>
        <v/>
      </c>
      <c r="I47" s="28" t="str">
        <f t="shared" si="3"/>
        <v/>
      </c>
      <c r="J47" s="28" t="str">
        <f>IF(AR47="","",IF(AA47='Instructions &amp; Reference'!$C$10,Scores!AR47,""))</f>
        <v/>
      </c>
      <c r="K47" s="29" t="str">
        <f t="shared" si="4"/>
        <v/>
      </c>
      <c r="L47" s="29" t="str">
        <f>IF(AR47="","",IF(AA47='Instructions &amp; Reference'!$C$11,Scores!AR47,""))</f>
        <v/>
      </c>
      <c r="M47" s="28" t="str">
        <f t="shared" si="5"/>
        <v/>
      </c>
      <c r="N47" s="28" t="str">
        <f>IF(AR47="","",IF(AA47='Instructions &amp; Reference'!$C$12,Scores!AR47,""))</f>
        <v/>
      </c>
      <c r="O47" s="29" t="str">
        <f t="shared" si="6"/>
        <v/>
      </c>
      <c r="P47" s="29" t="str">
        <f>IF(AR47="","",IF(AA47='Instructions &amp; Reference'!$C$13,Scores!AR47,""))</f>
        <v/>
      </c>
      <c r="Q47" s="28" t="str">
        <f t="shared" si="7"/>
        <v/>
      </c>
      <c r="R47" s="28" t="str">
        <f>IF(AR47="","",IF(AA47='Instructions &amp; Reference'!$C$14,Scores!AR47,""))</f>
        <v/>
      </c>
      <c r="S47" s="29" t="str">
        <f t="shared" si="8"/>
        <v/>
      </c>
      <c r="T47" s="29" t="str">
        <f>IF(AR47="","",IF(AA47='Instructions &amp; Reference'!$C$15,Scores!AR47,""))</f>
        <v/>
      </c>
      <c r="U47" s="28" t="str">
        <f t="shared" si="9"/>
        <v/>
      </c>
      <c r="V47" s="28" t="str">
        <f>IF(AR47="","",IF(AA47='Instructions &amp; Reference'!$C$16,Scores!AR47,""))</f>
        <v/>
      </c>
      <c r="W47" s="29" t="str">
        <f t="shared" si="10"/>
        <v/>
      </c>
      <c r="X47" s="30" t="str">
        <f>IF(AR47="","",IF(AA47='Instructions &amp; Reference'!$C$17,Scores!AR47,""))</f>
        <v/>
      </c>
      <c r="Z47" s="32" t="str">
        <f>IF('Teams &amp; HM'!A66="","",'Teams &amp; HM'!A66)</f>
        <v/>
      </c>
      <c r="AA47" s="126" t="str">
        <f>IF('Teams &amp; HM'!H72="","",'Teams &amp; HM'!H72)</f>
        <v/>
      </c>
      <c r="AB47" s="126" t="str">
        <f>IF('Teams &amp; HM'!A72="","",'Teams &amp; HM'!A72)</f>
        <v/>
      </c>
      <c r="AC47" s="126" t="str">
        <f>IF('Teams &amp; HM'!B72="","",'Teams &amp; HM'!B72)</f>
        <v/>
      </c>
      <c r="AE47" s="126" t="str">
        <f>IF(Ride!V47="","",Ride!X47)</f>
        <v/>
      </c>
      <c r="AF47" s="126" t="str">
        <f>IF(Run!L47="","",Run!L47)</f>
        <v/>
      </c>
      <c r="AG47" s="126" t="str">
        <f>IF(Shoot!J47="","",Shoot!J47)</f>
        <v/>
      </c>
      <c r="AH47" s="126" t="str">
        <f>IF(Swim!K47="","",Swim!K47)</f>
        <v/>
      </c>
      <c r="AI47" s="126" t="str">
        <f t="shared" si="11"/>
        <v/>
      </c>
      <c r="AK47" s="7"/>
      <c r="AL47" s="58" t="str">
        <f t="shared" si="12"/>
        <v/>
      </c>
      <c r="AN47" s="127" t="str">
        <f>IF('Teams &amp; HM'!Q72="","",'Teams &amp; HM'!Q72)</f>
        <v/>
      </c>
      <c r="AO47" s="127" t="str">
        <f>IF('Teams &amp; HM'!R72="","",'Teams &amp; HM'!R72)</f>
        <v/>
      </c>
      <c r="AP47" s="130"/>
      <c r="AR47" s="59" t="str">
        <f t="shared" si="13"/>
        <v/>
      </c>
      <c r="AT47" s="133"/>
      <c r="AU47" s="122"/>
    </row>
    <row r="48" spans="1:47" x14ac:dyDescent="0.25">
      <c r="A48" s="28" t="str">
        <f t="shared" si="0"/>
        <v/>
      </c>
      <c r="B48" s="28" t="str">
        <f>IF(AR48="","",IF(AA48='Instructions &amp; Reference'!$C$6,Scores!AR48,""))</f>
        <v/>
      </c>
      <c r="C48" s="29" t="str">
        <f>IF(D48="","",RANK(D48,$D$3:$D127,0))</f>
        <v/>
      </c>
      <c r="D48" s="29" t="str">
        <f>IF(AR48="","",IF(AA48='Instructions &amp; Reference'!$C$7,Scores!AR48,""))</f>
        <v/>
      </c>
      <c r="E48" s="28" t="str">
        <f t="shared" si="1"/>
        <v/>
      </c>
      <c r="F48" s="28" t="str">
        <f>IF(AR48="","",IF(AA48='Instructions &amp; Reference'!$C$8,Scores!AR48,""))</f>
        <v/>
      </c>
      <c r="G48" s="29" t="str">
        <f t="shared" si="2"/>
        <v/>
      </c>
      <c r="H48" s="29" t="str">
        <f>IF(AR48="","",IF(AA48='Instructions &amp; Reference'!$C$9,Scores!AR48,""))</f>
        <v/>
      </c>
      <c r="I48" s="28" t="str">
        <f t="shared" si="3"/>
        <v/>
      </c>
      <c r="J48" s="28" t="str">
        <f>IF(AR48="","",IF(AA48='Instructions &amp; Reference'!$C$10,Scores!AR48,""))</f>
        <v/>
      </c>
      <c r="K48" s="29" t="str">
        <f t="shared" si="4"/>
        <v/>
      </c>
      <c r="L48" s="29" t="str">
        <f>IF(AR48="","",IF(AA48='Instructions &amp; Reference'!$C$11,Scores!AR48,""))</f>
        <v/>
      </c>
      <c r="M48" s="28" t="str">
        <f t="shared" si="5"/>
        <v/>
      </c>
      <c r="N48" s="28" t="str">
        <f>IF(AR48="","",IF(AA48='Instructions &amp; Reference'!$C$12,Scores!AR48,""))</f>
        <v/>
      </c>
      <c r="O48" s="29" t="str">
        <f t="shared" si="6"/>
        <v/>
      </c>
      <c r="P48" s="29" t="str">
        <f>IF(AR48="","",IF(AA48='Instructions &amp; Reference'!$C$13,Scores!AR48,""))</f>
        <v/>
      </c>
      <c r="Q48" s="28" t="str">
        <f t="shared" si="7"/>
        <v/>
      </c>
      <c r="R48" s="28" t="str">
        <f>IF(AR48="","",IF(AA48='Instructions &amp; Reference'!$C$14,Scores!AR48,""))</f>
        <v/>
      </c>
      <c r="S48" s="29" t="str">
        <f t="shared" si="8"/>
        <v/>
      </c>
      <c r="T48" s="29" t="str">
        <f>IF(AR48="","",IF(AA48='Instructions &amp; Reference'!$C$15,Scores!AR48,""))</f>
        <v/>
      </c>
      <c r="U48" s="28" t="str">
        <f t="shared" si="9"/>
        <v/>
      </c>
      <c r="V48" s="28" t="str">
        <f>IF(AR48="","",IF(AA48='Instructions &amp; Reference'!$C$16,Scores!AR48,""))</f>
        <v/>
      </c>
      <c r="W48" s="29" t="str">
        <f t="shared" si="10"/>
        <v/>
      </c>
      <c r="X48" s="30" t="str">
        <f>IF(AR48="","",IF(AA48='Instructions &amp; Reference'!$C$17,Scores!AR48,""))</f>
        <v/>
      </c>
      <c r="Z48" s="32" t="str">
        <f>IF('Teams &amp; HM'!A74="","",'Teams &amp; HM'!A74)</f>
        <v/>
      </c>
      <c r="AA48" s="126" t="str">
        <f>IF('Teams &amp; HM'!H76="","",'Teams &amp; HM'!H76)</f>
        <v/>
      </c>
      <c r="AB48" s="126" t="str">
        <f>IF('Teams &amp; HM'!A76="","",'Teams &amp; HM'!A76)</f>
        <v/>
      </c>
      <c r="AC48" s="126" t="str">
        <f>IF('Teams &amp; HM'!B76="","",'Teams &amp; HM'!B76)</f>
        <v/>
      </c>
      <c r="AE48" s="126" t="str">
        <f>IF(Ride!V48="","",Ride!X48)</f>
        <v/>
      </c>
      <c r="AF48" s="126" t="str">
        <f>IF(Run!L48="","",Run!L48)</f>
        <v/>
      </c>
      <c r="AG48" s="126" t="str">
        <f>IF(Shoot!J48="","",Shoot!J48)</f>
        <v/>
      </c>
      <c r="AH48" s="126" t="str">
        <f>IF(Swim!K48="","",Swim!K48)</f>
        <v/>
      </c>
      <c r="AI48" s="126" t="str">
        <f t="shared" si="11"/>
        <v/>
      </c>
      <c r="AK48" s="7"/>
      <c r="AL48" s="58" t="str">
        <f t="shared" si="12"/>
        <v/>
      </c>
      <c r="AN48" s="127" t="str">
        <f>IF('Teams &amp; HM'!Q76="","",'Teams &amp; HM'!Q76)</f>
        <v/>
      </c>
      <c r="AO48" s="127" t="str">
        <f>IF('Teams &amp; HM'!R76="","",'Teams &amp; HM'!R76)</f>
        <v/>
      </c>
      <c r="AP48" s="128">
        <f>IF('Teams &amp; HM'!T76="","",'Teams &amp; HM'!T76)</f>
        <v>0</v>
      </c>
      <c r="AR48" s="59" t="str">
        <f t="shared" si="13"/>
        <v/>
      </c>
      <c r="AT48" s="131"/>
      <c r="AU48" s="120" t="str">
        <f>IF(AC48="","",SUM(Ride!Y48+Run!M48+Shoot!K48+Swim!L48+AP48+AT48))</f>
        <v/>
      </c>
    </row>
    <row r="49" spans="1:47" x14ac:dyDescent="0.25">
      <c r="A49" s="28" t="str">
        <f t="shared" si="0"/>
        <v/>
      </c>
      <c r="B49" s="28" t="str">
        <f>IF(AR49="","",IF(AA49='Instructions &amp; Reference'!$C$6,Scores!AR49,""))</f>
        <v/>
      </c>
      <c r="C49" s="29" t="str">
        <f>IF(D49="","",RANK(D49,$D$3:$D128,0))</f>
        <v/>
      </c>
      <c r="D49" s="29" t="str">
        <f>IF(AR49="","",IF(AA49='Instructions &amp; Reference'!$C$7,Scores!AR49,""))</f>
        <v/>
      </c>
      <c r="E49" s="28" t="str">
        <f t="shared" si="1"/>
        <v/>
      </c>
      <c r="F49" s="28" t="str">
        <f>IF(AR49="","",IF(AA49='Instructions &amp; Reference'!$C$8,Scores!AR49,""))</f>
        <v/>
      </c>
      <c r="G49" s="29" t="str">
        <f t="shared" si="2"/>
        <v/>
      </c>
      <c r="H49" s="29" t="str">
        <f>IF(AR49="","",IF(AA49='Instructions &amp; Reference'!$C$9,Scores!AR49,""))</f>
        <v/>
      </c>
      <c r="I49" s="28" t="str">
        <f t="shared" si="3"/>
        <v/>
      </c>
      <c r="J49" s="28" t="str">
        <f>IF(AR49="","",IF(AA49='Instructions &amp; Reference'!$C$10,Scores!AR49,""))</f>
        <v/>
      </c>
      <c r="K49" s="29" t="str">
        <f t="shared" si="4"/>
        <v/>
      </c>
      <c r="L49" s="29" t="str">
        <f>IF(AR49="","",IF(AA49='Instructions &amp; Reference'!$C$11,Scores!AR49,""))</f>
        <v/>
      </c>
      <c r="M49" s="28" t="str">
        <f t="shared" si="5"/>
        <v/>
      </c>
      <c r="N49" s="28" t="str">
        <f>IF(AR49="","",IF(AA49='Instructions &amp; Reference'!$C$12,Scores!AR49,""))</f>
        <v/>
      </c>
      <c r="O49" s="29" t="str">
        <f t="shared" si="6"/>
        <v/>
      </c>
      <c r="P49" s="29" t="str">
        <f>IF(AR49="","",IF(AA49='Instructions &amp; Reference'!$C$13,Scores!AR49,""))</f>
        <v/>
      </c>
      <c r="Q49" s="28" t="str">
        <f t="shared" si="7"/>
        <v/>
      </c>
      <c r="R49" s="28" t="str">
        <f>IF(AR49="","",IF(AA49='Instructions &amp; Reference'!$C$14,Scores!AR49,""))</f>
        <v/>
      </c>
      <c r="S49" s="29" t="str">
        <f t="shared" si="8"/>
        <v/>
      </c>
      <c r="T49" s="29" t="str">
        <f>IF(AR49="","",IF(AA49='Instructions &amp; Reference'!$C$15,Scores!AR49,""))</f>
        <v/>
      </c>
      <c r="U49" s="28" t="str">
        <f t="shared" si="9"/>
        <v/>
      </c>
      <c r="V49" s="28" t="str">
        <f>IF(AR49="","",IF(AA49='Instructions &amp; Reference'!$C$16,Scores!AR49,""))</f>
        <v/>
      </c>
      <c r="W49" s="29" t="str">
        <f t="shared" si="10"/>
        <v/>
      </c>
      <c r="X49" s="30" t="str">
        <f>IF(AR49="","",IF(AA49='Instructions &amp; Reference'!$C$17,Scores!AR49,""))</f>
        <v/>
      </c>
      <c r="Z49" s="32" t="str">
        <f>IF('Teams &amp; HM'!A74="","",'Teams &amp; HM'!A74)</f>
        <v/>
      </c>
      <c r="AA49" s="126" t="str">
        <f>IF('Teams &amp; HM'!H77="","",'Teams &amp; HM'!H77)</f>
        <v/>
      </c>
      <c r="AB49" s="126" t="str">
        <f>IF('Teams &amp; HM'!A77="","",'Teams &amp; HM'!A77)</f>
        <v/>
      </c>
      <c r="AC49" s="126" t="str">
        <f>IF('Teams &amp; HM'!B77="","",'Teams &amp; HM'!B77)</f>
        <v/>
      </c>
      <c r="AE49" s="126" t="str">
        <f>IF(Ride!V49="","",Ride!X49)</f>
        <v/>
      </c>
      <c r="AF49" s="126" t="str">
        <f>IF(Run!L49="","",Run!L49)</f>
        <v/>
      </c>
      <c r="AG49" s="126" t="str">
        <f>IF(Shoot!J49="","",Shoot!J49)</f>
        <v/>
      </c>
      <c r="AH49" s="126" t="str">
        <f>IF(Swim!K49="","",Swim!K49)</f>
        <v/>
      </c>
      <c r="AI49" s="126" t="str">
        <f t="shared" si="11"/>
        <v/>
      </c>
      <c r="AK49" s="7"/>
      <c r="AL49" s="58" t="str">
        <f t="shared" si="12"/>
        <v/>
      </c>
      <c r="AN49" s="127" t="str">
        <f>IF('Teams &amp; HM'!Q77="","",'Teams &amp; HM'!Q77)</f>
        <v/>
      </c>
      <c r="AO49" s="127" t="str">
        <f>IF('Teams &amp; HM'!R77="","",'Teams &amp; HM'!R77)</f>
        <v/>
      </c>
      <c r="AP49" s="129"/>
      <c r="AR49" s="59" t="str">
        <f t="shared" si="13"/>
        <v/>
      </c>
      <c r="AT49" s="132"/>
      <c r="AU49" s="121"/>
    </row>
    <row r="50" spans="1:47" x14ac:dyDescent="0.25">
      <c r="A50" s="28" t="str">
        <f t="shared" si="0"/>
        <v/>
      </c>
      <c r="B50" s="28" t="str">
        <f>IF(AR50="","",IF(AA50='Instructions &amp; Reference'!$C$6,Scores!AR50,""))</f>
        <v/>
      </c>
      <c r="C50" s="29" t="str">
        <f>IF(D50="","",RANK(D50,$D$3:$D129,0))</f>
        <v/>
      </c>
      <c r="D50" s="29" t="str">
        <f>IF(AR50="","",IF(AA50='Instructions &amp; Reference'!$C$7,Scores!AR50,""))</f>
        <v/>
      </c>
      <c r="E50" s="28" t="str">
        <f t="shared" si="1"/>
        <v/>
      </c>
      <c r="F50" s="28" t="str">
        <f>IF(AR50="","",IF(AA50='Instructions &amp; Reference'!$C$8,Scores!AR50,""))</f>
        <v/>
      </c>
      <c r="G50" s="29" t="str">
        <f t="shared" si="2"/>
        <v/>
      </c>
      <c r="H50" s="29" t="str">
        <f>IF(AR50="","",IF(AA50='Instructions &amp; Reference'!$C$9,Scores!AR50,""))</f>
        <v/>
      </c>
      <c r="I50" s="28" t="str">
        <f t="shared" si="3"/>
        <v/>
      </c>
      <c r="J50" s="28" t="str">
        <f>IF(AR50="","",IF(AA50='Instructions &amp; Reference'!$C$10,Scores!AR50,""))</f>
        <v/>
      </c>
      <c r="K50" s="29" t="str">
        <f t="shared" si="4"/>
        <v/>
      </c>
      <c r="L50" s="29" t="str">
        <f>IF(AR50="","",IF(AA50='Instructions &amp; Reference'!$C$11,Scores!AR50,""))</f>
        <v/>
      </c>
      <c r="M50" s="28" t="str">
        <f t="shared" si="5"/>
        <v/>
      </c>
      <c r="N50" s="28" t="str">
        <f>IF(AR50="","",IF(AA50='Instructions &amp; Reference'!$C$12,Scores!AR50,""))</f>
        <v/>
      </c>
      <c r="O50" s="29" t="str">
        <f t="shared" si="6"/>
        <v/>
      </c>
      <c r="P50" s="29" t="str">
        <f>IF(AR50="","",IF(AA50='Instructions &amp; Reference'!$C$13,Scores!AR50,""))</f>
        <v/>
      </c>
      <c r="Q50" s="28" t="str">
        <f t="shared" si="7"/>
        <v/>
      </c>
      <c r="R50" s="28" t="str">
        <f>IF(AR50="","",IF(AA50='Instructions &amp; Reference'!$C$14,Scores!AR50,""))</f>
        <v/>
      </c>
      <c r="S50" s="29" t="str">
        <f t="shared" si="8"/>
        <v/>
      </c>
      <c r="T50" s="29" t="str">
        <f>IF(AR50="","",IF(AA50='Instructions &amp; Reference'!$C$15,Scores!AR50,""))</f>
        <v/>
      </c>
      <c r="U50" s="28" t="str">
        <f t="shared" si="9"/>
        <v/>
      </c>
      <c r="V50" s="28" t="str">
        <f>IF(AR50="","",IF(AA50='Instructions &amp; Reference'!$C$16,Scores!AR50,""))</f>
        <v/>
      </c>
      <c r="W50" s="29" t="str">
        <f t="shared" si="10"/>
        <v/>
      </c>
      <c r="X50" s="30" t="str">
        <f>IF(AR50="","",IF(AA50='Instructions &amp; Reference'!$C$17,Scores!AR50,""))</f>
        <v/>
      </c>
      <c r="Z50" s="32" t="str">
        <f>IF('Teams &amp; HM'!A74="","",'Teams &amp; HM'!A74)</f>
        <v/>
      </c>
      <c r="AA50" s="126" t="str">
        <f>IF('Teams &amp; HM'!H78="","",'Teams &amp; HM'!H78)</f>
        <v/>
      </c>
      <c r="AB50" s="126" t="str">
        <f>IF('Teams &amp; HM'!A78="","",'Teams &amp; HM'!A78)</f>
        <v/>
      </c>
      <c r="AC50" s="126" t="str">
        <f>IF('Teams &amp; HM'!B78="","",'Teams &amp; HM'!B78)</f>
        <v/>
      </c>
      <c r="AE50" s="126" t="str">
        <f>IF(Ride!V50="","",Ride!X50)</f>
        <v/>
      </c>
      <c r="AF50" s="126" t="str">
        <f>IF(Run!L50="","",Run!L50)</f>
        <v/>
      </c>
      <c r="AG50" s="126" t="str">
        <f>IF(Shoot!J50="","",Shoot!J50)</f>
        <v/>
      </c>
      <c r="AH50" s="126" t="str">
        <f>IF(Swim!K50="","",Swim!K50)</f>
        <v/>
      </c>
      <c r="AI50" s="126" t="str">
        <f t="shared" si="11"/>
        <v/>
      </c>
      <c r="AK50" s="7"/>
      <c r="AL50" s="58" t="str">
        <f t="shared" si="12"/>
        <v/>
      </c>
      <c r="AN50" s="127" t="str">
        <f>IF('Teams &amp; HM'!Q78="","",'Teams &amp; HM'!Q78)</f>
        <v/>
      </c>
      <c r="AO50" s="127" t="str">
        <f>IF('Teams &amp; HM'!R78="","",'Teams &amp; HM'!R78)</f>
        <v/>
      </c>
      <c r="AP50" s="129"/>
      <c r="AR50" s="59" t="str">
        <f t="shared" si="13"/>
        <v/>
      </c>
      <c r="AT50" s="132"/>
      <c r="AU50" s="121"/>
    </row>
    <row r="51" spans="1:47" x14ac:dyDescent="0.25">
      <c r="A51" s="28" t="str">
        <f t="shared" si="0"/>
        <v/>
      </c>
      <c r="B51" s="28" t="str">
        <f>IF(AR51="","",IF(AA51='Instructions &amp; Reference'!$C$6,Scores!AR51,""))</f>
        <v/>
      </c>
      <c r="C51" s="29" t="str">
        <f>IF(D51="","",RANK(D51,$D$3:$D130,0))</f>
        <v/>
      </c>
      <c r="D51" s="29" t="str">
        <f>IF(AR51="","",IF(AA51='Instructions &amp; Reference'!$C$7,Scores!AR51,""))</f>
        <v/>
      </c>
      <c r="E51" s="28" t="str">
        <f t="shared" si="1"/>
        <v/>
      </c>
      <c r="F51" s="28" t="str">
        <f>IF(AR51="","",IF(AA51='Instructions &amp; Reference'!$C$8,Scores!AR51,""))</f>
        <v/>
      </c>
      <c r="G51" s="29" t="str">
        <f t="shared" si="2"/>
        <v/>
      </c>
      <c r="H51" s="29" t="str">
        <f>IF(AR51="","",IF(AA51='Instructions &amp; Reference'!$C$9,Scores!AR51,""))</f>
        <v/>
      </c>
      <c r="I51" s="28" t="str">
        <f t="shared" si="3"/>
        <v/>
      </c>
      <c r="J51" s="28" t="str">
        <f>IF(AR51="","",IF(AA51='Instructions &amp; Reference'!$C$10,Scores!AR51,""))</f>
        <v/>
      </c>
      <c r="K51" s="29" t="str">
        <f t="shared" si="4"/>
        <v/>
      </c>
      <c r="L51" s="29" t="str">
        <f>IF(AR51="","",IF(AA51='Instructions &amp; Reference'!$C$11,Scores!AR51,""))</f>
        <v/>
      </c>
      <c r="M51" s="28" t="str">
        <f t="shared" si="5"/>
        <v/>
      </c>
      <c r="N51" s="28" t="str">
        <f>IF(AR51="","",IF(AA51='Instructions &amp; Reference'!$C$12,Scores!AR51,""))</f>
        <v/>
      </c>
      <c r="O51" s="29" t="str">
        <f t="shared" si="6"/>
        <v/>
      </c>
      <c r="P51" s="29" t="str">
        <f>IF(AR51="","",IF(AA51='Instructions &amp; Reference'!$C$13,Scores!AR51,""))</f>
        <v/>
      </c>
      <c r="Q51" s="28" t="str">
        <f t="shared" si="7"/>
        <v/>
      </c>
      <c r="R51" s="28" t="str">
        <f>IF(AR51="","",IF(AA51='Instructions &amp; Reference'!$C$14,Scores!AR51,""))</f>
        <v/>
      </c>
      <c r="S51" s="29" t="str">
        <f t="shared" si="8"/>
        <v/>
      </c>
      <c r="T51" s="29" t="str">
        <f>IF(AR51="","",IF(AA51='Instructions &amp; Reference'!$C$15,Scores!AR51,""))</f>
        <v/>
      </c>
      <c r="U51" s="28" t="str">
        <f t="shared" si="9"/>
        <v/>
      </c>
      <c r="V51" s="28" t="str">
        <f>IF(AR51="","",IF(AA51='Instructions &amp; Reference'!$C$16,Scores!AR51,""))</f>
        <v/>
      </c>
      <c r="W51" s="29" t="str">
        <f t="shared" si="10"/>
        <v/>
      </c>
      <c r="X51" s="30" t="str">
        <f>IF(AR51="","",IF(AA51='Instructions &amp; Reference'!$C$17,Scores!AR51,""))</f>
        <v/>
      </c>
      <c r="Z51" s="32" t="str">
        <f>IF('Teams &amp; HM'!A74="","",'Teams &amp; HM'!A74)</f>
        <v/>
      </c>
      <c r="AA51" s="126" t="str">
        <f>IF('Teams &amp; HM'!H79="","",'Teams &amp; HM'!H79)</f>
        <v/>
      </c>
      <c r="AB51" s="126" t="str">
        <f>IF('Teams &amp; HM'!A79="","",'Teams &amp; HM'!A79)</f>
        <v/>
      </c>
      <c r="AC51" s="126" t="str">
        <f>IF('Teams &amp; HM'!B79="","",'Teams &amp; HM'!B79)</f>
        <v/>
      </c>
      <c r="AE51" s="126" t="str">
        <f>IF(Ride!V51="","",Ride!X51)</f>
        <v/>
      </c>
      <c r="AF51" s="126" t="str">
        <f>IF(Run!L51="","",Run!L51)</f>
        <v/>
      </c>
      <c r="AG51" s="126" t="str">
        <f>IF(Shoot!J51="","",Shoot!J51)</f>
        <v/>
      </c>
      <c r="AH51" s="126" t="str">
        <f>IF(Swim!K51="","",Swim!K51)</f>
        <v/>
      </c>
      <c r="AI51" s="126" t="str">
        <f t="shared" si="11"/>
        <v/>
      </c>
      <c r="AK51" s="7"/>
      <c r="AL51" s="58" t="str">
        <f t="shared" si="12"/>
        <v/>
      </c>
      <c r="AN51" s="127" t="str">
        <f>IF('Teams &amp; HM'!Q79="","",'Teams &amp; HM'!Q79)</f>
        <v/>
      </c>
      <c r="AO51" s="127" t="str">
        <f>IF('Teams &amp; HM'!R79="","",'Teams &amp; HM'!R79)</f>
        <v/>
      </c>
      <c r="AP51" s="129"/>
      <c r="AR51" s="59" t="str">
        <f t="shared" si="13"/>
        <v/>
      </c>
      <c r="AT51" s="132"/>
      <c r="AU51" s="121"/>
    </row>
    <row r="52" spans="1:47" x14ac:dyDescent="0.25">
      <c r="A52" s="28" t="str">
        <f t="shared" si="0"/>
        <v/>
      </c>
      <c r="B52" s="28" t="str">
        <f>IF(AR52="","",IF(AA52='Instructions &amp; Reference'!$C$6,Scores!AR52,""))</f>
        <v/>
      </c>
      <c r="C52" s="29" t="str">
        <f>IF(D52="","",RANK(D52,$D$3:$D131,0))</f>
        <v/>
      </c>
      <c r="D52" s="29" t="str">
        <f>IF(AR52="","",IF(AA52='Instructions &amp; Reference'!$C$7,Scores!AR52,""))</f>
        <v/>
      </c>
      <c r="E52" s="28" t="str">
        <f t="shared" si="1"/>
        <v/>
      </c>
      <c r="F52" s="28" t="str">
        <f>IF(AR52="","",IF(AA52='Instructions &amp; Reference'!$C$8,Scores!AR52,""))</f>
        <v/>
      </c>
      <c r="G52" s="29" t="str">
        <f t="shared" si="2"/>
        <v/>
      </c>
      <c r="H52" s="29" t="str">
        <f>IF(AR52="","",IF(AA52='Instructions &amp; Reference'!$C$9,Scores!AR52,""))</f>
        <v/>
      </c>
      <c r="I52" s="28" t="str">
        <f t="shared" si="3"/>
        <v/>
      </c>
      <c r="J52" s="28" t="str">
        <f>IF(AR52="","",IF(AA52='Instructions &amp; Reference'!$C$10,Scores!AR52,""))</f>
        <v/>
      </c>
      <c r="K52" s="29" t="str">
        <f t="shared" si="4"/>
        <v/>
      </c>
      <c r="L52" s="29" t="str">
        <f>IF(AR52="","",IF(AA52='Instructions &amp; Reference'!$C$11,Scores!AR52,""))</f>
        <v/>
      </c>
      <c r="M52" s="28" t="str">
        <f t="shared" si="5"/>
        <v/>
      </c>
      <c r="N52" s="28" t="str">
        <f>IF(AR52="","",IF(AA52='Instructions &amp; Reference'!$C$12,Scores!AR52,""))</f>
        <v/>
      </c>
      <c r="O52" s="29" t="str">
        <f t="shared" si="6"/>
        <v/>
      </c>
      <c r="P52" s="29" t="str">
        <f>IF(AR52="","",IF(AA52='Instructions &amp; Reference'!$C$13,Scores!AR52,""))</f>
        <v/>
      </c>
      <c r="Q52" s="28" t="str">
        <f t="shared" si="7"/>
        <v/>
      </c>
      <c r="R52" s="28" t="str">
        <f>IF(AR52="","",IF(AA52='Instructions &amp; Reference'!$C$14,Scores!AR52,""))</f>
        <v/>
      </c>
      <c r="S52" s="29" t="str">
        <f t="shared" si="8"/>
        <v/>
      </c>
      <c r="T52" s="29" t="str">
        <f>IF(AR52="","",IF(AA52='Instructions &amp; Reference'!$C$15,Scores!AR52,""))</f>
        <v/>
      </c>
      <c r="U52" s="28" t="str">
        <f t="shared" si="9"/>
        <v/>
      </c>
      <c r="V52" s="28" t="str">
        <f>IF(AR52="","",IF(AA52='Instructions &amp; Reference'!$C$16,Scores!AR52,""))</f>
        <v/>
      </c>
      <c r="W52" s="29" t="str">
        <f t="shared" si="10"/>
        <v/>
      </c>
      <c r="X52" s="30" t="str">
        <f>IF(AR52="","",IF(AA52='Instructions &amp; Reference'!$C$17,Scores!AR52,""))</f>
        <v/>
      </c>
      <c r="Z52" s="32" t="str">
        <f>IF('Teams &amp; HM'!A74="","",'Teams &amp; HM'!A74)</f>
        <v/>
      </c>
      <c r="AA52" s="126" t="str">
        <f>IF('Teams &amp; HM'!H80="","",'Teams &amp; HM'!H80)</f>
        <v/>
      </c>
      <c r="AB52" s="126" t="str">
        <f>IF('Teams &amp; HM'!A80="","",'Teams &amp; HM'!A80)</f>
        <v/>
      </c>
      <c r="AC52" s="126" t="str">
        <f>IF('Teams &amp; HM'!B80="","",'Teams &amp; HM'!B80)</f>
        <v/>
      </c>
      <c r="AE52" s="126" t="str">
        <f>IF(Ride!V52="","",Ride!X52)</f>
        <v/>
      </c>
      <c r="AF52" s="126" t="str">
        <f>IF(Run!L52="","",Run!L52)</f>
        <v/>
      </c>
      <c r="AG52" s="126" t="str">
        <f>IF(Shoot!J52="","",Shoot!J52)</f>
        <v/>
      </c>
      <c r="AH52" s="126" t="str">
        <f>IF(Swim!K52="","",Swim!K52)</f>
        <v/>
      </c>
      <c r="AI52" s="126" t="str">
        <f t="shared" si="11"/>
        <v/>
      </c>
      <c r="AK52" s="7"/>
      <c r="AL52" s="58" t="str">
        <f t="shared" si="12"/>
        <v/>
      </c>
      <c r="AN52" s="127" t="str">
        <f>IF('Teams &amp; HM'!Q80="","",'Teams &amp; HM'!Q80)</f>
        <v/>
      </c>
      <c r="AO52" s="127" t="str">
        <f>IF('Teams &amp; HM'!R80="","",'Teams &amp; HM'!R80)</f>
        <v/>
      </c>
      <c r="AP52" s="130"/>
      <c r="AR52" s="59" t="str">
        <f t="shared" si="13"/>
        <v/>
      </c>
      <c r="AT52" s="133"/>
      <c r="AU52" s="122"/>
    </row>
    <row r="53" spans="1:47" x14ac:dyDescent="0.25">
      <c r="A53" s="28" t="str">
        <f t="shared" si="0"/>
        <v/>
      </c>
      <c r="B53" s="28" t="str">
        <f>IF(AR53="","",IF(AA53='Instructions &amp; Reference'!$C$6,Scores!AR53,""))</f>
        <v/>
      </c>
      <c r="C53" s="29" t="str">
        <f>IF(D53="","",RANK(D53,$D$3:$D132,0))</f>
        <v/>
      </c>
      <c r="D53" s="29" t="str">
        <f>IF(AR53="","",IF(AA53='Instructions &amp; Reference'!$C$7,Scores!AR53,""))</f>
        <v/>
      </c>
      <c r="E53" s="28" t="str">
        <f t="shared" si="1"/>
        <v/>
      </c>
      <c r="F53" s="28" t="str">
        <f>IF(AR53="","",IF(AA53='Instructions &amp; Reference'!$C$8,Scores!AR53,""))</f>
        <v/>
      </c>
      <c r="G53" s="29" t="str">
        <f t="shared" si="2"/>
        <v/>
      </c>
      <c r="H53" s="29" t="str">
        <f>IF(AR53="","",IF(AA53='Instructions &amp; Reference'!$C$9,Scores!AR53,""))</f>
        <v/>
      </c>
      <c r="I53" s="28" t="str">
        <f t="shared" si="3"/>
        <v/>
      </c>
      <c r="J53" s="28" t="str">
        <f>IF(AR53="","",IF(AA53='Instructions &amp; Reference'!$C$10,Scores!AR53,""))</f>
        <v/>
      </c>
      <c r="K53" s="29" t="str">
        <f t="shared" si="4"/>
        <v/>
      </c>
      <c r="L53" s="29" t="str">
        <f>IF(AR53="","",IF(AA53='Instructions &amp; Reference'!$C$11,Scores!AR53,""))</f>
        <v/>
      </c>
      <c r="M53" s="28" t="str">
        <f t="shared" si="5"/>
        <v/>
      </c>
      <c r="N53" s="28" t="str">
        <f>IF(AR53="","",IF(AA53='Instructions &amp; Reference'!$C$12,Scores!AR53,""))</f>
        <v/>
      </c>
      <c r="O53" s="29" t="str">
        <f t="shared" si="6"/>
        <v/>
      </c>
      <c r="P53" s="29" t="str">
        <f>IF(AR53="","",IF(AA53='Instructions &amp; Reference'!$C$13,Scores!AR53,""))</f>
        <v/>
      </c>
      <c r="Q53" s="28" t="str">
        <f t="shared" si="7"/>
        <v/>
      </c>
      <c r="R53" s="28" t="str">
        <f>IF(AR53="","",IF(AA53='Instructions &amp; Reference'!$C$14,Scores!AR53,""))</f>
        <v/>
      </c>
      <c r="S53" s="29" t="str">
        <f t="shared" si="8"/>
        <v/>
      </c>
      <c r="T53" s="29" t="str">
        <f>IF(AR53="","",IF(AA53='Instructions &amp; Reference'!$C$15,Scores!AR53,""))</f>
        <v/>
      </c>
      <c r="U53" s="28" t="str">
        <f t="shared" si="9"/>
        <v/>
      </c>
      <c r="V53" s="28" t="str">
        <f>IF(AR53="","",IF(AA53='Instructions &amp; Reference'!$C$16,Scores!AR53,""))</f>
        <v/>
      </c>
      <c r="W53" s="29" t="str">
        <f t="shared" si="10"/>
        <v/>
      </c>
      <c r="X53" s="30" t="str">
        <f>IF(AR53="","",IF(AA53='Instructions &amp; Reference'!$C$17,Scores!AR53,""))</f>
        <v/>
      </c>
      <c r="Z53" s="32" t="str">
        <f>IF('Teams &amp; HM'!A82="","",'Teams &amp; HM'!A82)</f>
        <v/>
      </c>
      <c r="AA53" s="126" t="str">
        <f>IF('Teams &amp; HM'!H84="","",'Teams &amp; HM'!H84)</f>
        <v/>
      </c>
      <c r="AB53" s="126" t="str">
        <f>IF('Teams &amp; HM'!A84="","",'Teams &amp; HM'!A84)</f>
        <v/>
      </c>
      <c r="AC53" s="126" t="str">
        <f>IF('Teams &amp; HM'!B84="","",'Teams &amp; HM'!B84)</f>
        <v/>
      </c>
      <c r="AE53" s="126" t="str">
        <f>IF(Ride!V53="","",Ride!X53)</f>
        <v/>
      </c>
      <c r="AF53" s="126" t="str">
        <f>IF(Run!L53="","",Run!L53)</f>
        <v/>
      </c>
      <c r="AG53" s="126" t="str">
        <f>IF(Shoot!J53="","",Shoot!J53)</f>
        <v/>
      </c>
      <c r="AH53" s="126" t="str">
        <f>IF(Swim!K53="","",Swim!K53)</f>
        <v/>
      </c>
      <c r="AI53" s="126" t="str">
        <f t="shared" si="11"/>
        <v/>
      </c>
      <c r="AK53" s="7"/>
      <c r="AL53" s="58" t="str">
        <f t="shared" si="12"/>
        <v/>
      </c>
      <c r="AN53" s="127" t="str">
        <f>IF('Teams &amp; HM'!Q84="","",'Teams &amp; HM'!Q84)</f>
        <v/>
      </c>
      <c r="AO53" s="127" t="str">
        <f>IF('Teams &amp; HM'!R84="","",'Teams &amp; HM'!R84)</f>
        <v/>
      </c>
      <c r="AP53" s="128">
        <f>IF('Teams &amp; HM'!T84="","",'Teams &amp; HM'!T84)</f>
        <v>0</v>
      </c>
      <c r="AR53" s="59" t="str">
        <f t="shared" si="13"/>
        <v/>
      </c>
      <c r="AT53" s="131"/>
      <c r="AU53" s="120" t="str">
        <f>IF(AC53="","",SUM(Ride!Y53+Run!M53+Shoot!K53+Swim!L53+AP53+AT53))</f>
        <v/>
      </c>
    </row>
    <row r="54" spans="1:47" x14ac:dyDescent="0.25">
      <c r="A54" s="28" t="str">
        <f t="shared" si="0"/>
        <v/>
      </c>
      <c r="B54" s="28" t="str">
        <f>IF(AR54="","",IF(AA54='Instructions &amp; Reference'!$C$6,Scores!AR54,""))</f>
        <v/>
      </c>
      <c r="C54" s="29" t="str">
        <f>IF(D54="","",RANK(D54,$D$3:$D133,0))</f>
        <v/>
      </c>
      <c r="D54" s="29" t="str">
        <f>IF(AR54="","",IF(AA54='Instructions &amp; Reference'!$C$7,Scores!AR54,""))</f>
        <v/>
      </c>
      <c r="E54" s="28" t="str">
        <f t="shared" si="1"/>
        <v/>
      </c>
      <c r="F54" s="28" t="str">
        <f>IF(AR54="","",IF(AA54='Instructions &amp; Reference'!$C$8,Scores!AR54,""))</f>
        <v/>
      </c>
      <c r="G54" s="29" t="str">
        <f t="shared" si="2"/>
        <v/>
      </c>
      <c r="H54" s="29" t="str">
        <f>IF(AR54="","",IF(AA54='Instructions &amp; Reference'!$C$9,Scores!AR54,""))</f>
        <v/>
      </c>
      <c r="I54" s="28" t="str">
        <f t="shared" si="3"/>
        <v/>
      </c>
      <c r="J54" s="28" t="str">
        <f>IF(AR54="","",IF(AA54='Instructions &amp; Reference'!$C$10,Scores!AR54,""))</f>
        <v/>
      </c>
      <c r="K54" s="29" t="str">
        <f t="shared" si="4"/>
        <v/>
      </c>
      <c r="L54" s="29" t="str">
        <f>IF(AR54="","",IF(AA54='Instructions &amp; Reference'!$C$11,Scores!AR54,""))</f>
        <v/>
      </c>
      <c r="M54" s="28" t="str">
        <f t="shared" si="5"/>
        <v/>
      </c>
      <c r="N54" s="28" t="str">
        <f>IF(AR54="","",IF(AA54='Instructions &amp; Reference'!$C$12,Scores!AR54,""))</f>
        <v/>
      </c>
      <c r="O54" s="29" t="str">
        <f t="shared" si="6"/>
        <v/>
      </c>
      <c r="P54" s="29" t="str">
        <f>IF(AR54="","",IF(AA54='Instructions &amp; Reference'!$C$13,Scores!AR54,""))</f>
        <v/>
      </c>
      <c r="Q54" s="28" t="str">
        <f t="shared" si="7"/>
        <v/>
      </c>
      <c r="R54" s="28" t="str">
        <f>IF(AR54="","",IF(AA54='Instructions &amp; Reference'!$C$14,Scores!AR54,""))</f>
        <v/>
      </c>
      <c r="S54" s="29" t="str">
        <f t="shared" si="8"/>
        <v/>
      </c>
      <c r="T54" s="29" t="str">
        <f>IF(AR54="","",IF(AA54='Instructions &amp; Reference'!$C$15,Scores!AR54,""))</f>
        <v/>
      </c>
      <c r="U54" s="28" t="str">
        <f t="shared" si="9"/>
        <v/>
      </c>
      <c r="V54" s="28" t="str">
        <f>IF(AR54="","",IF(AA54='Instructions &amp; Reference'!$C$16,Scores!AR54,""))</f>
        <v/>
      </c>
      <c r="W54" s="29" t="str">
        <f t="shared" si="10"/>
        <v/>
      </c>
      <c r="X54" s="30" t="str">
        <f>IF(AR54="","",IF(AA54='Instructions &amp; Reference'!$C$17,Scores!AR54,""))</f>
        <v/>
      </c>
      <c r="Z54" s="32" t="str">
        <f>IF('Teams &amp; HM'!A82="","",'Teams &amp; HM'!A82)</f>
        <v/>
      </c>
      <c r="AA54" s="126" t="str">
        <f>IF('Teams &amp; HM'!H85="","",'Teams &amp; HM'!H85)</f>
        <v/>
      </c>
      <c r="AB54" s="126" t="str">
        <f>IF('Teams &amp; HM'!A85="","",'Teams &amp; HM'!A85)</f>
        <v/>
      </c>
      <c r="AC54" s="126" t="str">
        <f>IF('Teams &amp; HM'!B85="","",'Teams &amp; HM'!B85)</f>
        <v/>
      </c>
      <c r="AE54" s="126" t="str">
        <f>IF(Ride!V54="","",Ride!X54)</f>
        <v/>
      </c>
      <c r="AF54" s="126" t="str">
        <f>IF(Run!L54="","",Run!L54)</f>
        <v/>
      </c>
      <c r="AG54" s="126" t="str">
        <f>IF(Shoot!J54="","",Shoot!J54)</f>
        <v/>
      </c>
      <c r="AH54" s="126" t="str">
        <f>IF(Swim!K54="","",Swim!K54)</f>
        <v/>
      </c>
      <c r="AI54" s="126" t="str">
        <f t="shared" si="11"/>
        <v/>
      </c>
      <c r="AK54" s="7"/>
      <c r="AL54" s="58" t="str">
        <f t="shared" si="12"/>
        <v/>
      </c>
      <c r="AN54" s="127" t="str">
        <f>IF('Teams &amp; HM'!Q85="","",'Teams &amp; HM'!Q85)</f>
        <v/>
      </c>
      <c r="AO54" s="127" t="str">
        <f>IF('Teams &amp; HM'!R85="","",'Teams &amp; HM'!R85)</f>
        <v/>
      </c>
      <c r="AP54" s="129"/>
      <c r="AR54" s="59" t="str">
        <f t="shared" si="13"/>
        <v/>
      </c>
      <c r="AT54" s="132"/>
      <c r="AU54" s="121"/>
    </row>
    <row r="55" spans="1:47" x14ac:dyDescent="0.25">
      <c r="A55" s="28" t="str">
        <f t="shared" si="0"/>
        <v/>
      </c>
      <c r="B55" s="28" t="str">
        <f>IF(AR55="","",IF(AA55='Instructions &amp; Reference'!$C$6,Scores!AR55,""))</f>
        <v/>
      </c>
      <c r="C55" s="29" t="str">
        <f>IF(D55="","",RANK(D55,$D$3:$D134,0))</f>
        <v/>
      </c>
      <c r="D55" s="29" t="str">
        <f>IF(AR55="","",IF(AA55='Instructions &amp; Reference'!$C$7,Scores!AR55,""))</f>
        <v/>
      </c>
      <c r="E55" s="28" t="str">
        <f t="shared" si="1"/>
        <v/>
      </c>
      <c r="F55" s="28" t="str">
        <f>IF(AR55="","",IF(AA55='Instructions &amp; Reference'!$C$8,Scores!AR55,""))</f>
        <v/>
      </c>
      <c r="G55" s="29" t="str">
        <f t="shared" si="2"/>
        <v/>
      </c>
      <c r="H55" s="29" t="str">
        <f>IF(AR55="","",IF(AA55='Instructions &amp; Reference'!$C$9,Scores!AR55,""))</f>
        <v/>
      </c>
      <c r="I55" s="28" t="str">
        <f t="shared" si="3"/>
        <v/>
      </c>
      <c r="J55" s="28" t="str">
        <f>IF(AR55="","",IF(AA55='Instructions &amp; Reference'!$C$10,Scores!AR55,""))</f>
        <v/>
      </c>
      <c r="K55" s="29" t="str">
        <f t="shared" si="4"/>
        <v/>
      </c>
      <c r="L55" s="29" t="str">
        <f>IF(AR55="","",IF(AA55='Instructions &amp; Reference'!$C$11,Scores!AR55,""))</f>
        <v/>
      </c>
      <c r="M55" s="28" t="str">
        <f t="shared" si="5"/>
        <v/>
      </c>
      <c r="N55" s="28" t="str">
        <f>IF(AR55="","",IF(AA55='Instructions &amp; Reference'!$C$12,Scores!AR55,""))</f>
        <v/>
      </c>
      <c r="O55" s="29" t="str">
        <f t="shared" si="6"/>
        <v/>
      </c>
      <c r="P55" s="29" t="str">
        <f>IF(AR55="","",IF(AA55='Instructions &amp; Reference'!$C$13,Scores!AR55,""))</f>
        <v/>
      </c>
      <c r="Q55" s="28" t="str">
        <f t="shared" si="7"/>
        <v/>
      </c>
      <c r="R55" s="28" t="str">
        <f>IF(AR55="","",IF(AA55='Instructions &amp; Reference'!$C$14,Scores!AR55,""))</f>
        <v/>
      </c>
      <c r="S55" s="29" t="str">
        <f t="shared" si="8"/>
        <v/>
      </c>
      <c r="T55" s="29" t="str">
        <f>IF(AR55="","",IF(AA55='Instructions &amp; Reference'!$C$15,Scores!AR55,""))</f>
        <v/>
      </c>
      <c r="U55" s="28" t="str">
        <f t="shared" si="9"/>
        <v/>
      </c>
      <c r="V55" s="28" t="str">
        <f>IF(AR55="","",IF(AA55='Instructions &amp; Reference'!$C$16,Scores!AR55,""))</f>
        <v/>
      </c>
      <c r="W55" s="29" t="str">
        <f t="shared" si="10"/>
        <v/>
      </c>
      <c r="X55" s="30" t="str">
        <f>IF(AR55="","",IF(AA55='Instructions &amp; Reference'!$C$17,Scores!AR55,""))</f>
        <v/>
      </c>
      <c r="Z55" s="32" t="str">
        <f>IF('Teams &amp; HM'!A82="","",'Teams &amp; HM'!A82)</f>
        <v/>
      </c>
      <c r="AA55" s="126" t="str">
        <f>IF('Teams &amp; HM'!H86="","",'Teams &amp; HM'!H86)</f>
        <v/>
      </c>
      <c r="AB55" s="126" t="str">
        <f>IF('Teams &amp; HM'!A86="","",'Teams &amp; HM'!A86)</f>
        <v/>
      </c>
      <c r="AC55" s="126" t="str">
        <f>IF('Teams &amp; HM'!B86="","",'Teams &amp; HM'!B86)</f>
        <v/>
      </c>
      <c r="AE55" s="126" t="str">
        <f>IF(Ride!V55="","",Ride!X55)</f>
        <v/>
      </c>
      <c r="AF55" s="126" t="str">
        <f>IF(Run!L55="","",Run!L55)</f>
        <v/>
      </c>
      <c r="AG55" s="126" t="str">
        <f>IF(Shoot!J55="","",Shoot!J55)</f>
        <v/>
      </c>
      <c r="AH55" s="126" t="str">
        <f>IF(Swim!K55="","",Swim!K55)</f>
        <v/>
      </c>
      <c r="AI55" s="126" t="str">
        <f t="shared" si="11"/>
        <v/>
      </c>
      <c r="AK55" s="7"/>
      <c r="AL55" s="58" t="str">
        <f t="shared" si="12"/>
        <v/>
      </c>
      <c r="AN55" s="127" t="str">
        <f>IF('Teams &amp; HM'!Q86="","",'Teams &amp; HM'!Q86)</f>
        <v/>
      </c>
      <c r="AO55" s="127" t="str">
        <f>IF('Teams &amp; HM'!R86="","",'Teams &amp; HM'!R86)</f>
        <v/>
      </c>
      <c r="AP55" s="129"/>
      <c r="AR55" s="59" t="str">
        <f t="shared" si="13"/>
        <v/>
      </c>
      <c r="AT55" s="132"/>
      <c r="AU55" s="121"/>
    </row>
    <row r="56" spans="1:47" x14ac:dyDescent="0.25">
      <c r="A56" s="28" t="str">
        <f t="shared" si="0"/>
        <v/>
      </c>
      <c r="B56" s="28" t="str">
        <f>IF(AR56="","",IF(AA56='Instructions &amp; Reference'!$C$6,Scores!AR56,""))</f>
        <v/>
      </c>
      <c r="C56" s="29" t="str">
        <f>IF(D56="","",RANK(D56,$D$3:$D135,0))</f>
        <v/>
      </c>
      <c r="D56" s="29" t="str">
        <f>IF(AR56="","",IF(AA56='Instructions &amp; Reference'!$C$7,Scores!AR56,""))</f>
        <v/>
      </c>
      <c r="E56" s="28" t="str">
        <f t="shared" si="1"/>
        <v/>
      </c>
      <c r="F56" s="28" t="str">
        <f>IF(AR56="","",IF(AA56='Instructions &amp; Reference'!$C$8,Scores!AR56,""))</f>
        <v/>
      </c>
      <c r="G56" s="29" t="str">
        <f t="shared" si="2"/>
        <v/>
      </c>
      <c r="H56" s="29" t="str">
        <f>IF(AR56="","",IF(AA56='Instructions &amp; Reference'!$C$9,Scores!AR56,""))</f>
        <v/>
      </c>
      <c r="I56" s="28" t="str">
        <f t="shared" si="3"/>
        <v/>
      </c>
      <c r="J56" s="28" t="str">
        <f>IF(AR56="","",IF(AA56='Instructions &amp; Reference'!$C$10,Scores!AR56,""))</f>
        <v/>
      </c>
      <c r="K56" s="29" t="str">
        <f t="shared" si="4"/>
        <v/>
      </c>
      <c r="L56" s="29" t="str">
        <f>IF(AR56="","",IF(AA56='Instructions &amp; Reference'!$C$11,Scores!AR56,""))</f>
        <v/>
      </c>
      <c r="M56" s="28" t="str">
        <f t="shared" si="5"/>
        <v/>
      </c>
      <c r="N56" s="28" t="str">
        <f>IF(AR56="","",IF(AA56='Instructions &amp; Reference'!$C$12,Scores!AR56,""))</f>
        <v/>
      </c>
      <c r="O56" s="29" t="str">
        <f t="shared" si="6"/>
        <v/>
      </c>
      <c r="P56" s="29" t="str">
        <f>IF(AR56="","",IF(AA56='Instructions &amp; Reference'!$C$13,Scores!AR56,""))</f>
        <v/>
      </c>
      <c r="Q56" s="28" t="str">
        <f t="shared" si="7"/>
        <v/>
      </c>
      <c r="R56" s="28" t="str">
        <f>IF(AR56="","",IF(AA56='Instructions &amp; Reference'!$C$14,Scores!AR56,""))</f>
        <v/>
      </c>
      <c r="S56" s="29" t="str">
        <f t="shared" si="8"/>
        <v/>
      </c>
      <c r="T56" s="29" t="str">
        <f>IF(AR56="","",IF(AA56='Instructions &amp; Reference'!$C$15,Scores!AR56,""))</f>
        <v/>
      </c>
      <c r="U56" s="28" t="str">
        <f t="shared" si="9"/>
        <v/>
      </c>
      <c r="V56" s="28" t="str">
        <f>IF(AR56="","",IF(AA56='Instructions &amp; Reference'!$C$16,Scores!AR56,""))</f>
        <v/>
      </c>
      <c r="W56" s="29" t="str">
        <f t="shared" si="10"/>
        <v/>
      </c>
      <c r="X56" s="30" t="str">
        <f>IF(AR56="","",IF(AA56='Instructions &amp; Reference'!$C$17,Scores!AR56,""))</f>
        <v/>
      </c>
      <c r="Z56" s="32" t="str">
        <f>IF('Teams &amp; HM'!A82="","",'Teams &amp; HM'!A82)</f>
        <v/>
      </c>
      <c r="AA56" s="126" t="str">
        <f>IF('Teams &amp; HM'!H87="","",'Teams &amp; HM'!H87)</f>
        <v/>
      </c>
      <c r="AB56" s="126" t="str">
        <f>IF('Teams &amp; HM'!A87="","",'Teams &amp; HM'!A87)</f>
        <v/>
      </c>
      <c r="AC56" s="126" t="str">
        <f>IF('Teams &amp; HM'!B87="","",'Teams &amp; HM'!B87)</f>
        <v/>
      </c>
      <c r="AE56" s="126" t="str">
        <f>IF(Ride!V56="","",Ride!X56)</f>
        <v/>
      </c>
      <c r="AF56" s="126" t="str">
        <f>IF(Run!L56="","",Run!L56)</f>
        <v/>
      </c>
      <c r="AG56" s="126" t="str">
        <f>IF(Shoot!J56="","",Shoot!J56)</f>
        <v/>
      </c>
      <c r="AH56" s="126" t="str">
        <f>IF(Swim!K56="","",Swim!K56)</f>
        <v/>
      </c>
      <c r="AI56" s="126" t="str">
        <f t="shared" si="11"/>
        <v/>
      </c>
      <c r="AK56" s="7"/>
      <c r="AL56" s="58" t="str">
        <f t="shared" si="12"/>
        <v/>
      </c>
      <c r="AN56" s="127" t="str">
        <f>IF('Teams &amp; HM'!Q87="","",'Teams &amp; HM'!Q87)</f>
        <v/>
      </c>
      <c r="AO56" s="127" t="str">
        <f>IF('Teams &amp; HM'!R87="","",'Teams &amp; HM'!R87)</f>
        <v/>
      </c>
      <c r="AP56" s="129"/>
      <c r="AR56" s="59" t="str">
        <f t="shared" si="13"/>
        <v/>
      </c>
      <c r="AT56" s="132"/>
      <c r="AU56" s="121"/>
    </row>
    <row r="57" spans="1:47" x14ac:dyDescent="0.25">
      <c r="A57" s="28" t="str">
        <f t="shared" si="0"/>
        <v/>
      </c>
      <c r="B57" s="28" t="str">
        <f>IF(AR57="","",IF(AA57='Instructions &amp; Reference'!$C$6,Scores!AR57,""))</f>
        <v/>
      </c>
      <c r="C57" s="29" t="str">
        <f>IF(D57="","",RANK(D57,$D$3:$D136,0))</f>
        <v/>
      </c>
      <c r="D57" s="29" t="str">
        <f>IF(AR57="","",IF(AA57='Instructions &amp; Reference'!$C$7,Scores!AR57,""))</f>
        <v/>
      </c>
      <c r="E57" s="28" t="str">
        <f t="shared" si="1"/>
        <v/>
      </c>
      <c r="F57" s="28" t="str">
        <f>IF(AR57="","",IF(AA57='Instructions &amp; Reference'!$C$8,Scores!AR57,""))</f>
        <v/>
      </c>
      <c r="G57" s="29" t="str">
        <f t="shared" si="2"/>
        <v/>
      </c>
      <c r="H57" s="29" t="str">
        <f>IF(AR57="","",IF(AA57='Instructions &amp; Reference'!$C$9,Scores!AR57,""))</f>
        <v/>
      </c>
      <c r="I57" s="28" t="str">
        <f t="shared" si="3"/>
        <v/>
      </c>
      <c r="J57" s="28" t="str">
        <f>IF(AR57="","",IF(AA57='Instructions &amp; Reference'!$C$10,Scores!AR57,""))</f>
        <v/>
      </c>
      <c r="K57" s="29" t="str">
        <f t="shared" si="4"/>
        <v/>
      </c>
      <c r="L57" s="29" t="str">
        <f>IF(AR57="","",IF(AA57='Instructions &amp; Reference'!$C$11,Scores!AR57,""))</f>
        <v/>
      </c>
      <c r="M57" s="28" t="str">
        <f t="shared" si="5"/>
        <v/>
      </c>
      <c r="N57" s="28" t="str">
        <f>IF(AR57="","",IF(AA57='Instructions &amp; Reference'!$C$12,Scores!AR57,""))</f>
        <v/>
      </c>
      <c r="O57" s="29" t="str">
        <f t="shared" si="6"/>
        <v/>
      </c>
      <c r="P57" s="29" t="str">
        <f>IF(AR57="","",IF(AA57='Instructions &amp; Reference'!$C$13,Scores!AR57,""))</f>
        <v/>
      </c>
      <c r="Q57" s="28" t="str">
        <f t="shared" si="7"/>
        <v/>
      </c>
      <c r="R57" s="28" t="str">
        <f>IF(AR57="","",IF(AA57='Instructions &amp; Reference'!$C$14,Scores!AR57,""))</f>
        <v/>
      </c>
      <c r="S57" s="29" t="str">
        <f t="shared" si="8"/>
        <v/>
      </c>
      <c r="T57" s="29" t="str">
        <f>IF(AR57="","",IF(AA57='Instructions &amp; Reference'!$C$15,Scores!AR57,""))</f>
        <v/>
      </c>
      <c r="U57" s="28" t="str">
        <f t="shared" si="9"/>
        <v/>
      </c>
      <c r="V57" s="28" t="str">
        <f>IF(AR57="","",IF(AA57='Instructions &amp; Reference'!$C$16,Scores!AR57,""))</f>
        <v/>
      </c>
      <c r="W57" s="29" t="str">
        <f t="shared" si="10"/>
        <v/>
      </c>
      <c r="X57" s="30" t="str">
        <f>IF(AR57="","",IF(AA57='Instructions &amp; Reference'!$C$17,Scores!AR57,""))</f>
        <v/>
      </c>
      <c r="Z57" s="32" t="str">
        <f>IF('Teams &amp; HM'!A82="","",'Teams &amp; HM'!A82)</f>
        <v/>
      </c>
      <c r="AA57" s="126" t="str">
        <f>IF('Teams &amp; HM'!H88="","",'Teams &amp; HM'!H88)</f>
        <v/>
      </c>
      <c r="AB57" s="126" t="str">
        <f>IF('Teams &amp; HM'!A88="","",'Teams &amp; HM'!A88)</f>
        <v/>
      </c>
      <c r="AC57" s="126" t="str">
        <f>IF('Teams &amp; HM'!B88="","",'Teams &amp; HM'!B88)</f>
        <v/>
      </c>
      <c r="AE57" s="126" t="str">
        <f>IF(Ride!V57="","",Ride!X57)</f>
        <v/>
      </c>
      <c r="AF57" s="126" t="str">
        <f>IF(Run!L57="","",Run!L57)</f>
        <v/>
      </c>
      <c r="AG57" s="126" t="str">
        <f>IF(Shoot!J57="","",Shoot!J57)</f>
        <v/>
      </c>
      <c r="AH57" s="126" t="str">
        <f>IF(Swim!K57="","",Swim!K57)</f>
        <v/>
      </c>
      <c r="AI57" s="126" t="str">
        <f t="shared" si="11"/>
        <v/>
      </c>
      <c r="AK57" s="7"/>
      <c r="AL57" s="58" t="str">
        <f t="shared" si="12"/>
        <v/>
      </c>
      <c r="AN57" s="127" t="str">
        <f>IF('Teams &amp; HM'!Q88="","",'Teams &amp; HM'!Q88)</f>
        <v/>
      </c>
      <c r="AO57" s="127" t="str">
        <f>IF('Teams &amp; HM'!R88="","",'Teams &amp; HM'!R88)</f>
        <v/>
      </c>
      <c r="AP57" s="130"/>
      <c r="AR57" s="59" t="str">
        <f t="shared" si="13"/>
        <v/>
      </c>
      <c r="AT57" s="133"/>
      <c r="AU57" s="122"/>
    </row>
    <row r="58" spans="1:47" x14ac:dyDescent="0.25">
      <c r="A58" s="28" t="str">
        <f t="shared" si="0"/>
        <v/>
      </c>
      <c r="B58" s="28" t="str">
        <f>IF(AR58="","",IF(AA58='Instructions &amp; Reference'!$C$6,Scores!AR58,""))</f>
        <v/>
      </c>
      <c r="C58" s="29" t="str">
        <f>IF(D58="","",RANK(D58,$D$3:$D137,0))</f>
        <v/>
      </c>
      <c r="D58" s="29" t="str">
        <f>IF(AR58="","",IF(AA58='Instructions &amp; Reference'!$C$7,Scores!AR58,""))</f>
        <v/>
      </c>
      <c r="E58" s="28" t="str">
        <f t="shared" si="1"/>
        <v/>
      </c>
      <c r="F58" s="28" t="str">
        <f>IF(AR58="","",IF(AA58='Instructions &amp; Reference'!$C$8,Scores!AR58,""))</f>
        <v/>
      </c>
      <c r="G58" s="29" t="str">
        <f t="shared" si="2"/>
        <v/>
      </c>
      <c r="H58" s="29" t="str">
        <f>IF(AR58="","",IF(AA58='Instructions &amp; Reference'!$C$9,Scores!AR58,""))</f>
        <v/>
      </c>
      <c r="I58" s="28" t="str">
        <f t="shared" si="3"/>
        <v/>
      </c>
      <c r="J58" s="28" t="str">
        <f>IF(AR58="","",IF(AA58='Instructions &amp; Reference'!$C$10,Scores!AR58,""))</f>
        <v/>
      </c>
      <c r="K58" s="29" t="str">
        <f t="shared" si="4"/>
        <v/>
      </c>
      <c r="L58" s="29" t="str">
        <f>IF(AR58="","",IF(AA58='Instructions &amp; Reference'!$C$11,Scores!AR58,""))</f>
        <v/>
      </c>
      <c r="M58" s="28" t="str">
        <f t="shared" si="5"/>
        <v/>
      </c>
      <c r="N58" s="28" t="str">
        <f>IF(AR58="","",IF(AA58='Instructions &amp; Reference'!$C$12,Scores!AR58,""))</f>
        <v/>
      </c>
      <c r="O58" s="29" t="str">
        <f t="shared" si="6"/>
        <v/>
      </c>
      <c r="P58" s="29" t="str">
        <f>IF(AR58="","",IF(AA58='Instructions &amp; Reference'!$C$13,Scores!AR58,""))</f>
        <v/>
      </c>
      <c r="Q58" s="28" t="str">
        <f t="shared" si="7"/>
        <v/>
      </c>
      <c r="R58" s="28" t="str">
        <f>IF(AR58="","",IF(AA58='Instructions &amp; Reference'!$C$14,Scores!AR58,""))</f>
        <v/>
      </c>
      <c r="S58" s="29" t="str">
        <f t="shared" si="8"/>
        <v/>
      </c>
      <c r="T58" s="29" t="str">
        <f>IF(AR58="","",IF(AA58='Instructions &amp; Reference'!$C$15,Scores!AR58,""))</f>
        <v/>
      </c>
      <c r="U58" s="28" t="str">
        <f t="shared" si="9"/>
        <v/>
      </c>
      <c r="V58" s="28" t="str">
        <f>IF(AR58="","",IF(AA58='Instructions &amp; Reference'!$C$16,Scores!AR58,""))</f>
        <v/>
      </c>
      <c r="W58" s="29" t="str">
        <f t="shared" si="10"/>
        <v/>
      </c>
      <c r="X58" s="30" t="str">
        <f>IF(AR58="","",IF(AA58='Instructions &amp; Reference'!$C$17,Scores!AR58,""))</f>
        <v/>
      </c>
      <c r="Z58" s="32" t="str">
        <f>IF('Teams &amp; HM'!A90="","",'Teams &amp; HM'!A90)</f>
        <v/>
      </c>
      <c r="AA58" s="126" t="str">
        <f>IF('Teams &amp; HM'!H92="","",'Teams &amp; HM'!H92)</f>
        <v/>
      </c>
      <c r="AB58" s="126" t="str">
        <f>IF('Teams &amp; HM'!A92="","",'Teams &amp; HM'!A92)</f>
        <v/>
      </c>
      <c r="AC58" s="126" t="str">
        <f>IF('Teams &amp; HM'!B92="","",'Teams &amp; HM'!B92)</f>
        <v/>
      </c>
      <c r="AE58" s="126" t="str">
        <f>IF(Ride!V58="","",Ride!X58)</f>
        <v/>
      </c>
      <c r="AF58" s="126" t="str">
        <f>IF(Run!L58="","",Run!L58)</f>
        <v/>
      </c>
      <c r="AG58" s="126" t="str">
        <f>IF(Shoot!J58="","",Shoot!J58)</f>
        <v/>
      </c>
      <c r="AH58" s="126" t="str">
        <f>IF(Swim!K58="","",Swim!K58)</f>
        <v/>
      </c>
      <c r="AI58" s="126" t="str">
        <f t="shared" si="11"/>
        <v/>
      </c>
      <c r="AK58" s="7"/>
      <c r="AL58" s="58" t="str">
        <f t="shared" si="12"/>
        <v/>
      </c>
      <c r="AN58" s="127" t="str">
        <f>IF('Teams &amp; HM'!Q92="","",'Teams &amp; HM'!Q92)</f>
        <v/>
      </c>
      <c r="AO58" s="127" t="str">
        <f>IF('Teams &amp; HM'!R92="","",'Teams &amp; HM'!R92)</f>
        <v/>
      </c>
      <c r="AP58" s="128">
        <f>IF('Teams &amp; HM'!T92="","",'Teams &amp; HM'!T92)</f>
        <v>0</v>
      </c>
      <c r="AR58" s="59" t="str">
        <f t="shared" si="13"/>
        <v/>
      </c>
      <c r="AT58" s="131"/>
      <c r="AU58" s="120" t="str">
        <f>IF(AC58="","",SUM(Ride!Y58+Run!M58+Shoot!K58+Swim!L58+AP58+AT58))</f>
        <v/>
      </c>
    </row>
    <row r="59" spans="1:47" x14ac:dyDescent="0.25">
      <c r="A59" s="28" t="str">
        <f t="shared" si="0"/>
        <v/>
      </c>
      <c r="B59" s="28" t="str">
        <f>IF(AR59="","",IF(AA59='Instructions &amp; Reference'!$C$6,Scores!AR59,""))</f>
        <v/>
      </c>
      <c r="C59" s="29" t="str">
        <f>IF(D59="","",RANK(D59,$D$3:$D138,0))</f>
        <v/>
      </c>
      <c r="D59" s="29" t="str">
        <f>IF(AR59="","",IF(AA59='Instructions &amp; Reference'!$C$7,Scores!AR59,""))</f>
        <v/>
      </c>
      <c r="E59" s="28" t="str">
        <f t="shared" si="1"/>
        <v/>
      </c>
      <c r="F59" s="28" t="str">
        <f>IF(AR59="","",IF(AA59='Instructions &amp; Reference'!$C$8,Scores!AR59,""))</f>
        <v/>
      </c>
      <c r="G59" s="29" t="str">
        <f t="shared" si="2"/>
        <v/>
      </c>
      <c r="H59" s="29" t="str">
        <f>IF(AR59="","",IF(AA59='Instructions &amp; Reference'!$C$9,Scores!AR59,""))</f>
        <v/>
      </c>
      <c r="I59" s="28" t="str">
        <f t="shared" si="3"/>
        <v/>
      </c>
      <c r="J59" s="28" t="str">
        <f>IF(AR59="","",IF(AA59='Instructions &amp; Reference'!$C$10,Scores!AR59,""))</f>
        <v/>
      </c>
      <c r="K59" s="29" t="str">
        <f t="shared" si="4"/>
        <v/>
      </c>
      <c r="L59" s="29" t="str">
        <f>IF(AR59="","",IF(AA59='Instructions &amp; Reference'!$C$11,Scores!AR59,""))</f>
        <v/>
      </c>
      <c r="M59" s="28" t="str">
        <f t="shared" si="5"/>
        <v/>
      </c>
      <c r="N59" s="28" t="str">
        <f>IF(AR59="","",IF(AA59='Instructions &amp; Reference'!$C$12,Scores!AR59,""))</f>
        <v/>
      </c>
      <c r="O59" s="29" t="str">
        <f t="shared" si="6"/>
        <v/>
      </c>
      <c r="P59" s="29" t="str">
        <f>IF(AR59="","",IF(AA59='Instructions &amp; Reference'!$C$13,Scores!AR59,""))</f>
        <v/>
      </c>
      <c r="Q59" s="28" t="str">
        <f t="shared" si="7"/>
        <v/>
      </c>
      <c r="R59" s="28" t="str">
        <f>IF(AR59="","",IF(AA59='Instructions &amp; Reference'!$C$14,Scores!AR59,""))</f>
        <v/>
      </c>
      <c r="S59" s="29" t="str">
        <f t="shared" si="8"/>
        <v/>
      </c>
      <c r="T59" s="29" t="str">
        <f>IF(AR59="","",IF(AA59='Instructions &amp; Reference'!$C$15,Scores!AR59,""))</f>
        <v/>
      </c>
      <c r="U59" s="28" t="str">
        <f t="shared" si="9"/>
        <v/>
      </c>
      <c r="V59" s="28" t="str">
        <f>IF(AR59="","",IF(AA59='Instructions &amp; Reference'!$C$16,Scores!AR59,""))</f>
        <v/>
      </c>
      <c r="W59" s="29" t="str">
        <f t="shared" si="10"/>
        <v/>
      </c>
      <c r="X59" s="30" t="str">
        <f>IF(AR59="","",IF(AA59='Instructions &amp; Reference'!$C$17,Scores!AR59,""))</f>
        <v/>
      </c>
      <c r="Z59" s="32" t="str">
        <f>IF('Teams &amp; HM'!A90="","",'Teams &amp; HM'!A90)</f>
        <v/>
      </c>
      <c r="AA59" s="126" t="str">
        <f>IF('Teams &amp; HM'!H93="","",'Teams &amp; HM'!H93)</f>
        <v/>
      </c>
      <c r="AB59" s="126" t="str">
        <f>IF('Teams &amp; HM'!A93="","",'Teams &amp; HM'!A93)</f>
        <v/>
      </c>
      <c r="AC59" s="126" t="str">
        <f>IF('Teams &amp; HM'!B93="","",'Teams &amp; HM'!B93)</f>
        <v/>
      </c>
      <c r="AE59" s="126" t="str">
        <f>IF(Ride!V59="","",Ride!X59)</f>
        <v/>
      </c>
      <c r="AF59" s="126" t="str">
        <f>IF(Run!L59="","",Run!L59)</f>
        <v/>
      </c>
      <c r="AG59" s="126" t="str">
        <f>IF(Shoot!J59="","",Shoot!J59)</f>
        <v/>
      </c>
      <c r="AH59" s="126" t="str">
        <f>IF(Swim!K59="","",Swim!K59)</f>
        <v/>
      </c>
      <c r="AI59" s="126" t="str">
        <f t="shared" si="11"/>
        <v/>
      </c>
      <c r="AK59" s="7"/>
      <c r="AL59" s="58" t="str">
        <f t="shared" si="12"/>
        <v/>
      </c>
      <c r="AN59" s="127" t="str">
        <f>IF('Teams &amp; HM'!Q93="","",'Teams &amp; HM'!Q93)</f>
        <v/>
      </c>
      <c r="AO59" s="127" t="str">
        <f>IF('Teams &amp; HM'!R93="","",'Teams &amp; HM'!R93)</f>
        <v/>
      </c>
      <c r="AP59" s="129"/>
      <c r="AR59" s="59" t="str">
        <f t="shared" si="13"/>
        <v/>
      </c>
      <c r="AT59" s="132"/>
      <c r="AU59" s="121"/>
    </row>
    <row r="60" spans="1:47" x14ac:dyDescent="0.25">
      <c r="A60" s="28" t="str">
        <f t="shared" si="0"/>
        <v/>
      </c>
      <c r="B60" s="28" t="str">
        <f>IF(AR60="","",IF(AA60='Instructions &amp; Reference'!$C$6,Scores!AR60,""))</f>
        <v/>
      </c>
      <c r="C60" s="29" t="str">
        <f>IF(D60="","",RANK(D60,$D$3:$D139,0))</f>
        <v/>
      </c>
      <c r="D60" s="29" t="str">
        <f>IF(AR60="","",IF(AA60='Instructions &amp; Reference'!$C$7,Scores!AR60,""))</f>
        <v/>
      </c>
      <c r="E60" s="28" t="str">
        <f t="shared" si="1"/>
        <v/>
      </c>
      <c r="F60" s="28" t="str">
        <f>IF(AR60="","",IF(AA60='Instructions &amp; Reference'!$C$8,Scores!AR60,""))</f>
        <v/>
      </c>
      <c r="G60" s="29" t="str">
        <f t="shared" si="2"/>
        <v/>
      </c>
      <c r="H60" s="29" t="str">
        <f>IF(AR60="","",IF(AA60='Instructions &amp; Reference'!$C$9,Scores!AR60,""))</f>
        <v/>
      </c>
      <c r="I60" s="28" t="str">
        <f t="shared" si="3"/>
        <v/>
      </c>
      <c r="J60" s="28" t="str">
        <f>IF(AR60="","",IF(AA60='Instructions &amp; Reference'!$C$10,Scores!AR60,""))</f>
        <v/>
      </c>
      <c r="K60" s="29" t="str">
        <f t="shared" si="4"/>
        <v/>
      </c>
      <c r="L60" s="29" t="str">
        <f>IF(AR60="","",IF(AA60='Instructions &amp; Reference'!$C$11,Scores!AR60,""))</f>
        <v/>
      </c>
      <c r="M60" s="28" t="str">
        <f t="shared" si="5"/>
        <v/>
      </c>
      <c r="N60" s="28" t="str">
        <f>IF(AR60="","",IF(AA60='Instructions &amp; Reference'!$C$12,Scores!AR60,""))</f>
        <v/>
      </c>
      <c r="O60" s="29" t="str">
        <f t="shared" si="6"/>
        <v/>
      </c>
      <c r="P60" s="29" t="str">
        <f>IF(AR60="","",IF(AA60='Instructions &amp; Reference'!$C$13,Scores!AR60,""))</f>
        <v/>
      </c>
      <c r="Q60" s="28" t="str">
        <f t="shared" si="7"/>
        <v/>
      </c>
      <c r="R60" s="28" t="str">
        <f>IF(AR60="","",IF(AA60='Instructions &amp; Reference'!$C$14,Scores!AR60,""))</f>
        <v/>
      </c>
      <c r="S60" s="29" t="str">
        <f t="shared" si="8"/>
        <v/>
      </c>
      <c r="T60" s="29" t="str">
        <f>IF(AR60="","",IF(AA60='Instructions &amp; Reference'!$C$15,Scores!AR60,""))</f>
        <v/>
      </c>
      <c r="U60" s="28" t="str">
        <f t="shared" si="9"/>
        <v/>
      </c>
      <c r="V60" s="28" t="str">
        <f>IF(AR60="","",IF(AA60='Instructions &amp; Reference'!$C$16,Scores!AR60,""))</f>
        <v/>
      </c>
      <c r="W60" s="29" t="str">
        <f t="shared" si="10"/>
        <v/>
      </c>
      <c r="X60" s="30" t="str">
        <f>IF(AR60="","",IF(AA60='Instructions &amp; Reference'!$C$17,Scores!AR60,""))</f>
        <v/>
      </c>
      <c r="Z60" s="32" t="str">
        <f>IF('Teams &amp; HM'!A90="","",'Teams &amp; HM'!A90)</f>
        <v/>
      </c>
      <c r="AA60" s="126" t="str">
        <f>IF('Teams &amp; HM'!H94="","",'Teams &amp; HM'!H94)</f>
        <v/>
      </c>
      <c r="AB60" s="126" t="str">
        <f>IF('Teams &amp; HM'!A94="","",'Teams &amp; HM'!A94)</f>
        <v/>
      </c>
      <c r="AC60" s="126" t="str">
        <f>IF('Teams &amp; HM'!B94="","",'Teams &amp; HM'!B94)</f>
        <v/>
      </c>
      <c r="AE60" s="126" t="str">
        <f>IF(Ride!V60="","",Ride!X60)</f>
        <v/>
      </c>
      <c r="AF60" s="126" t="str">
        <f>IF(Run!L60="","",Run!L60)</f>
        <v/>
      </c>
      <c r="AG60" s="126" t="str">
        <f>IF(Shoot!J60="","",Shoot!J60)</f>
        <v/>
      </c>
      <c r="AH60" s="126" t="str">
        <f>IF(Swim!K60="","",Swim!K60)</f>
        <v/>
      </c>
      <c r="AI60" s="126" t="str">
        <f t="shared" si="11"/>
        <v/>
      </c>
      <c r="AK60" s="7"/>
      <c r="AL60" s="58" t="str">
        <f t="shared" si="12"/>
        <v/>
      </c>
      <c r="AN60" s="127" t="str">
        <f>IF('Teams &amp; HM'!Q94="","",'Teams &amp; HM'!Q94)</f>
        <v/>
      </c>
      <c r="AO60" s="127" t="str">
        <f>IF('Teams &amp; HM'!R94="","",'Teams &amp; HM'!R94)</f>
        <v/>
      </c>
      <c r="AP60" s="129"/>
      <c r="AR60" s="59" t="str">
        <f t="shared" si="13"/>
        <v/>
      </c>
      <c r="AT60" s="132"/>
      <c r="AU60" s="121"/>
    </row>
    <row r="61" spans="1:47" x14ac:dyDescent="0.25">
      <c r="A61" s="28" t="str">
        <f t="shared" si="0"/>
        <v/>
      </c>
      <c r="B61" s="28" t="str">
        <f>IF(AR61="","",IF(AA61='Instructions &amp; Reference'!$C$6,Scores!AR61,""))</f>
        <v/>
      </c>
      <c r="C61" s="29" t="str">
        <f>IF(D61="","",RANK(D61,$D$3:$D140,0))</f>
        <v/>
      </c>
      <c r="D61" s="29" t="str">
        <f>IF(AR61="","",IF(AA61='Instructions &amp; Reference'!$C$7,Scores!AR61,""))</f>
        <v/>
      </c>
      <c r="E61" s="28" t="str">
        <f t="shared" si="1"/>
        <v/>
      </c>
      <c r="F61" s="28" t="str">
        <f>IF(AR61="","",IF(AA61='Instructions &amp; Reference'!$C$8,Scores!AR61,""))</f>
        <v/>
      </c>
      <c r="G61" s="29" t="str">
        <f t="shared" si="2"/>
        <v/>
      </c>
      <c r="H61" s="29" t="str">
        <f>IF(AR61="","",IF(AA61='Instructions &amp; Reference'!$C$9,Scores!AR61,""))</f>
        <v/>
      </c>
      <c r="I61" s="28" t="str">
        <f t="shared" si="3"/>
        <v/>
      </c>
      <c r="J61" s="28" t="str">
        <f>IF(AR61="","",IF(AA61='Instructions &amp; Reference'!$C$10,Scores!AR61,""))</f>
        <v/>
      </c>
      <c r="K61" s="29" t="str">
        <f t="shared" si="4"/>
        <v/>
      </c>
      <c r="L61" s="29" t="str">
        <f>IF(AR61="","",IF(AA61='Instructions &amp; Reference'!$C$11,Scores!AR61,""))</f>
        <v/>
      </c>
      <c r="M61" s="28" t="str">
        <f t="shared" si="5"/>
        <v/>
      </c>
      <c r="N61" s="28" t="str">
        <f>IF(AR61="","",IF(AA61='Instructions &amp; Reference'!$C$12,Scores!AR61,""))</f>
        <v/>
      </c>
      <c r="O61" s="29" t="str">
        <f t="shared" si="6"/>
        <v/>
      </c>
      <c r="P61" s="29" t="str">
        <f>IF(AR61="","",IF(AA61='Instructions &amp; Reference'!$C$13,Scores!AR61,""))</f>
        <v/>
      </c>
      <c r="Q61" s="28" t="str">
        <f t="shared" si="7"/>
        <v/>
      </c>
      <c r="R61" s="28" t="str">
        <f>IF(AR61="","",IF(AA61='Instructions &amp; Reference'!$C$14,Scores!AR61,""))</f>
        <v/>
      </c>
      <c r="S61" s="29" t="str">
        <f t="shared" si="8"/>
        <v/>
      </c>
      <c r="T61" s="29" t="str">
        <f>IF(AR61="","",IF(AA61='Instructions &amp; Reference'!$C$15,Scores!AR61,""))</f>
        <v/>
      </c>
      <c r="U61" s="28" t="str">
        <f t="shared" si="9"/>
        <v/>
      </c>
      <c r="V61" s="28" t="str">
        <f>IF(AR61="","",IF(AA61='Instructions &amp; Reference'!$C$16,Scores!AR61,""))</f>
        <v/>
      </c>
      <c r="W61" s="29" t="str">
        <f t="shared" si="10"/>
        <v/>
      </c>
      <c r="X61" s="30" t="str">
        <f>IF(AR61="","",IF(AA61='Instructions &amp; Reference'!$C$17,Scores!AR61,""))</f>
        <v/>
      </c>
      <c r="Z61" s="32" t="str">
        <f>IF('Teams &amp; HM'!A90="","",'Teams &amp; HM'!A90)</f>
        <v/>
      </c>
      <c r="AA61" s="126" t="str">
        <f>IF('Teams &amp; HM'!H95="","",'Teams &amp; HM'!H95)</f>
        <v/>
      </c>
      <c r="AB61" s="126" t="str">
        <f>IF('Teams &amp; HM'!A95="","",'Teams &amp; HM'!A95)</f>
        <v/>
      </c>
      <c r="AC61" s="126" t="str">
        <f>IF('Teams &amp; HM'!B95="","",'Teams &amp; HM'!B95)</f>
        <v/>
      </c>
      <c r="AE61" s="126" t="str">
        <f>IF(Ride!V61="","",Ride!X61)</f>
        <v/>
      </c>
      <c r="AF61" s="126" t="str">
        <f>IF(Run!L61="","",Run!L61)</f>
        <v/>
      </c>
      <c r="AG61" s="126" t="str">
        <f>IF(Shoot!J61="","",Shoot!J61)</f>
        <v/>
      </c>
      <c r="AH61" s="126" t="str">
        <f>IF(Swim!K61="","",Swim!K61)</f>
        <v/>
      </c>
      <c r="AI61" s="126" t="str">
        <f t="shared" si="11"/>
        <v/>
      </c>
      <c r="AK61" s="7"/>
      <c r="AL61" s="58" t="str">
        <f t="shared" si="12"/>
        <v/>
      </c>
      <c r="AN61" s="127" t="str">
        <f>IF('Teams &amp; HM'!Q95="","",'Teams &amp; HM'!Q95)</f>
        <v/>
      </c>
      <c r="AO61" s="127" t="str">
        <f>IF('Teams &amp; HM'!R95="","",'Teams &amp; HM'!R95)</f>
        <v/>
      </c>
      <c r="AP61" s="129"/>
      <c r="AR61" s="59" t="str">
        <f t="shared" si="13"/>
        <v/>
      </c>
      <c r="AT61" s="132"/>
      <c r="AU61" s="121"/>
    </row>
    <row r="62" spans="1:47" x14ac:dyDescent="0.25">
      <c r="A62" s="28" t="str">
        <f t="shared" si="0"/>
        <v/>
      </c>
      <c r="B62" s="28" t="str">
        <f>IF(AR62="","",IF(AA62='Instructions &amp; Reference'!$C$6,Scores!AR62,""))</f>
        <v/>
      </c>
      <c r="C62" s="29" t="str">
        <f>IF(D62="","",RANK(D62,$D$3:$D141,0))</f>
        <v/>
      </c>
      <c r="D62" s="29" t="str">
        <f>IF(AR62="","",IF(AA62='Instructions &amp; Reference'!$C$7,Scores!AR62,""))</f>
        <v/>
      </c>
      <c r="E62" s="28" t="str">
        <f t="shared" si="1"/>
        <v/>
      </c>
      <c r="F62" s="28" t="str">
        <f>IF(AR62="","",IF(AA62='Instructions &amp; Reference'!$C$8,Scores!AR62,""))</f>
        <v/>
      </c>
      <c r="G62" s="29" t="str">
        <f t="shared" si="2"/>
        <v/>
      </c>
      <c r="H62" s="29" t="str">
        <f>IF(AR62="","",IF(AA62='Instructions &amp; Reference'!$C$9,Scores!AR62,""))</f>
        <v/>
      </c>
      <c r="I62" s="28" t="str">
        <f t="shared" si="3"/>
        <v/>
      </c>
      <c r="J62" s="28" t="str">
        <f>IF(AR62="","",IF(AA62='Instructions &amp; Reference'!$C$10,Scores!AR62,""))</f>
        <v/>
      </c>
      <c r="K62" s="29" t="str">
        <f t="shared" si="4"/>
        <v/>
      </c>
      <c r="L62" s="29" t="str">
        <f>IF(AR62="","",IF(AA62='Instructions &amp; Reference'!$C$11,Scores!AR62,""))</f>
        <v/>
      </c>
      <c r="M62" s="28" t="str">
        <f t="shared" si="5"/>
        <v/>
      </c>
      <c r="N62" s="28" t="str">
        <f>IF(AR62="","",IF(AA62='Instructions &amp; Reference'!$C$12,Scores!AR62,""))</f>
        <v/>
      </c>
      <c r="O62" s="29" t="str">
        <f t="shared" si="6"/>
        <v/>
      </c>
      <c r="P62" s="29" t="str">
        <f>IF(AR62="","",IF(AA62='Instructions &amp; Reference'!$C$13,Scores!AR62,""))</f>
        <v/>
      </c>
      <c r="Q62" s="28" t="str">
        <f t="shared" si="7"/>
        <v/>
      </c>
      <c r="R62" s="28" t="str">
        <f>IF(AR62="","",IF(AA62='Instructions &amp; Reference'!$C$14,Scores!AR62,""))</f>
        <v/>
      </c>
      <c r="S62" s="29" t="str">
        <f t="shared" si="8"/>
        <v/>
      </c>
      <c r="T62" s="29" t="str">
        <f>IF(AR62="","",IF(AA62='Instructions &amp; Reference'!$C$15,Scores!AR62,""))</f>
        <v/>
      </c>
      <c r="U62" s="28" t="str">
        <f t="shared" si="9"/>
        <v/>
      </c>
      <c r="V62" s="28" t="str">
        <f>IF(AR62="","",IF(AA62='Instructions &amp; Reference'!$C$16,Scores!AR62,""))</f>
        <v/>
      </c>
      <c r="W62" s="29" t="str">
        <f t="shared" si="10"/>
        <v/>
      </c>
      <c r="X62" s="30" t="str">
        <f>IF(AR62="","",IF(AA62='Instructions &amp; Reference'!$C$17,Scores!AR62,""))</f>
        <v/>
      </c>
      <c r="Z62" s="32" t="str">
        <f>IF('Teams &amp; HM'!A90="","",'Teams &amp; HM'!A90)</f>
        <v/>
      </c>
      <c r="AA62" s="126" t="str">
        <f>IF('Teams &amp; HM'!H96="","",'Teams &amp; HM'!H96)</f>
        <v/>
      </c>
      <c r="AB62" s="126" t="str">
        <f>IF('Teams &amp; HM'!A96="","",'Teams &amp; HM'!A96)</f>
        <v/>
      </c>
      <c r="AC62" s="126" t="str">
        <f>IF('Teams &amp; HM'!B96="","",'Teams &amp; HM'!B96)</f>
        <v/>
      </c>
      <c r="AE62" s="126" t="str">
        <f>IF(Ride!V62="","",Ride!X62)</f>
        <v/>
      </c>
      <c r="AF62" s="126" t="str">
        <f>IF(Run!L62="","",Run!L62)</f>
        <v/>
      </c>
      <c r="AG62" s="126" t="str">
        <f>IF(Shoot!J62="","",Shoot!J62)</f>
        <v/>
      </c>
      <c r="AH62" s="126" t="str">
        <f>IF(Swim!K62="","",Swim!K62)</f>
        <v/>
      </c>
      <c r="AI62" s="126" t="str">
        <f t="shared" si="11"/>
        <v/>
      </c>
      <c r="AK62" s="7"/>
      <c r="AL62" s="58" t="str">
        <f t="shared" si="12"/>
        <v/>
      </c>
      <c r="AN62" s="127" t="str">
        <f>IF('Teams &amp; HM'!Q96="","",'Teams &amp; HM'!Q96)</f>
        <v/>
      </c>
      <c r="AO62" s="127" t="str">
        <f>IF('Teams &amp; HM'!R96="","",'Teams &amp; HM'!R96)</f>
        <v/>
      </c>
      <c r="AP62" s="130"/>
      <c r="AR62" s="59" t="str">
        <f t="shared" si="13"/>
        <v/>
      </c>
      <c r="AT62" s="133"/>
      <c r="AU62" s="122"/>
    </row>
    <row r="63" spans="1:47" x14ac:dyDescent="0.25">
      <c r="A63" s="28" t="str">
        <f t="shared" si="0"/>
        <v/>
      </c>
      <c r="B63" s="28" t="str">
        <f>IF(AR63="","",IF(AA63='Instructions &amp; Reference'!$C$6,Scores!AR63,""))</f>
        <v/>
      </c>
      <c r="C63" s="29" t="str">
        <f>IF(D63="","",RANK(D63,$D$3:$D142,0))</f>
        <v/>
      </c>
      <c r="D63" s="29" t="str">
        <f>IF(AR63="","",IF(AA63='Instructions &amp; Reference'!$C$7,Scores!AR63,""))</f>
        <v/>
      </c>
      <c r="E63" s="28" t="str">
        <f t="shared" si="1"/>
        <v/>
      </c>
      <c r="F63" s="28" t="str">
        <f>IF(AR63="","",IF(AA63='Instructions &amp; Reference'!$C$8,Scores!AR63,""))</f>
        <v/>
      </c>
      <c r="G63" s="29" t="str">
        <f t="shared" si="2"/>
        <v/>
      </c>
      <c r="H63" s="29" t="str">
        <f>IF(AR63="","",IF(AA63='Instructions &amp; Reference'!$C$9,Scores!AR63,""))</f>
        <v/>
      </c>
      <c r="I63" s="28" t="str">
        <f t="shared" si="3"/>
        <v/>
      </c>
      <c r="J63" s="28" t="str">
        <f>IF(AR63="","",IF(AA63='Instructions &amp; Reference'!$C$10,Scores!AR63,""))</f>
        <v/>
      </c>
      <c r="K63" s="29" t="str">
        <f t="shared" si="4"/>
        <v/>
      </c>
      <c r="L63" s="29" t="str">
        <f>IF(AR63="","",IF(AA63='Instructions &amp; Reference'!$C$11,Scores!AR63,""))</f>
        <v/>
      </c>
      <c r="M63" s="28" t="str">
        <f t="shared" si="5"/>
        <v/>
      </c>
      <c r="N63" s="28" t="str">
        <f>IF(AR63="","",IF(AA63='Instructions &amp; Reference'!$C$12,Scores!AR63,""))</f>
        <v/>
      </c>
      <c r="O63" s="29" t="str">
        <f t="shared" si="6"/>
        <v/>
      </c>
      <c r="P63" s="29" t="str">
        <f>IF(AR63="","",IF(AA63='Instructions &amp; Reference'!$C$13,Scores!AR63,""))</f>
        <v/>
      </c>
      <c r="Q63" s="28" t="str">
        <f t="shared" si="7"/>
        <v/>
      </c>
      <c r="R63" s="28" t="str">
        <f>IF(AR63="","",IF(AA63='Instructions &amp; Reference'!$C$14,Scores!AR63,""))</f>
        <v/>
      </c>
      <c r="S63" s="29" t="str">
        <f t="shared" si="8"/>
        <v/>
      </c>
      <c r="T63" s="29" t="str">
        <f>IF(AR63="","",IF(AA63='Instructions &amp; Reference'!$C$15,Scores!AR63,""))</f>
        <v/>
      </c>
      <c r="U63" s="28" t="str">
        <f t="shared" si="9"/>
        <v/>
      </c>
      <c r="V63" s="28" t="str">
        <f>IF(AR63="","",IF(AA63='Instructions &amp; Reference'!$C$16,Scores!AR63,""))</f>
        <v/>
      </c>
      <c r="W63" s="29" t="str">
        <f t="shared" si="10"/>
        <v/>
      </c>
      <c r="X63" s="30" t="str">
        <f>IF(AR63="","",IF(AA63='Instructions &amp; Reference'!$C$17,Scores!AR63,""))</f>
        <v/>
      </c>
      <c r="Z63" s="32" t="str">
        <f>IF('Teams &amp; HM'!A98="","",'Teams &amp; HM'!A98)</f>
        <v/>
      </c>
      <c r="AA63" s="126" t="str">
        <f>IF('Teams &amp; HM'!H100="","",'Teams &amp; HM'!H100)</f>
        <v/>
      </c>
      <c r="AB63" s="126" t="str">
        <f>IF('Teams &amp; HM'!A100="","",'Teams &amp; HM'!A100)</f>
        <v/>
      </c>
      <c r="AC63" s="126" t="str">
        <f>IF('Teams &amp; HM'!B100="","",'Teams &amp; HM'!B100)</f>
        <v/>
      </c>
      <c r="AE63" s="126" t="str">
        <f>IF(Ride!V63="","",Ride!X63)</f>
        <v/>
      </c>
      <c r="AF63" s="126" t="str">
        <f>IF(Run!L63="","",Run!L63)</f>
        <v/>
      </c>
      <c r="AG63" s="126" t="str">
        <f>IF(Shoot!J63="","",Shoot!J63)</f>
        <v/>
      </c>
      <c r="AH63" s="126" t="str">
        <f>IF(Swim!K63="","",Swim!K63)</f>
        <v/>
      </c>
      <c r="AI63" s="126" t="str">
        <f t="shared" si="11"/>
        <v/>
      </c>
      <c r="AK63" s="7"/>
      <c r="AL63" s="58" t="str">
        <f t="shared" si="12"/>
        <v/>
      </c>
      <c r="AN63" s="127" t="str">
        <f>IF('Teams &amp; HM'!Q100="","",'Teams &amp; HM'!Q100)</f>
        <v/>
      </c>
      <c r="AO63" s="127" t="str">
        <f>IF('Teams &amp; HM'!R100="","",'Teams &amp; HM'!R100)</f>
        <v/>
      </c>
      <c r="AP63" s="128">
        <f>IF('Teams &amp; HM'!T100="","",'Teams &amp; HM'!T100)</f>
        <v>0</v>
      </c>
      <c r="AR63" s="59" t="str">
        <f t="shared" si="13"/>
        <v/>
      </c>
      <c r="AT63" s="131"/>
      <c r="AU63" s="120" t="str">
        <f>IF(AC63="","",SUM(Ride!Y63+Run!M63+Shoot!K63+Swim!L63+AP63+AT63))</f>
        <v/>
      </c>
    </row>
    <row r="64" spans="1:47" x14ac:dyDescent="0.25">
      <c r="A64" s="28" t="str">
        <f t="shared" si="0"/>
        <v/>
      </c>
      <c r="B64" s="28" t="str">
        <f>IF(AR64="","",IF(AA64='Instructions &amp; Reference'!$C$6,Scores!AR64,""))</f>
        <v/>
      </c>
      <c r="C64" s="29" t="str">
        <f>IF(D64="","",RANK(D64,$D$3:$D143,0))</f>
        <v/>
      </c>
      <c r="D64" s="29" t="str">
        <f>IF(AR64="","",IF(AA64='Instructions &amp; Reference'!$C$7,Scores!AR64,""))</f>
        <v/>
      </c>
      <c r="E64" s="28" t="str">
        <f t="shared" si="1"/>
        <v/>
      </c>
      <c r="F64" s="28" t="str">
        <f>IF(AR64="","",IF(AA64='Instructions &amp; Reference'!$C$8,Scores!AR64,""))</f>
        <v/>
      </c>
      <c r="G64" s="29" t="str">
        <f t="shared" si="2"/>
        <v/>
      </c>
      <c r="H64" s="29" t="str">
        <f>IF(AR64="","",IF(AA64='Instructions &amp; Reference'!$C$9,Scores!AR64,""))</f>
        <v/>
      </c>
      <c r="I64" s="28" t="str">
        <f t="shared" si="3"/>
        <v/>
      </c>
      <c r="J64" s="28" t="str">
        <f>IF(AR64="","",IF(AA64='Instructions &amp; Reference'!$C$10,Scores!AR64,""))</f>
        <v/>
      </c>
      <c r="K64" s="29" t="str">
        <f t="shared" si="4"/>
        <v/>
      </c>
      <c r="L64" s="29" t="str">
        <f>IF(AR64="","",IF(AA64='Instructions &amp; Reference'!$C$11,Scores!AR64,""))</f>
        <v/>
      </c>
      <c r="M64" s="28" t="str">
        <f t="shared" si="5"/>
        <v/>
      </c>
      <c r="N64" s="28" t="str">
        <f>IF(AR64="","",IF(AA64='Instructions &amp; Reference'!$C$12,Scores!AR64,""))</f>
        <v/>
      </c>
      <c r="O64" s="29" t="str">
        <f t="shared" si="6"/>
        <v/>
      </c>
      <c r="P64" s="29" t="str">
        <f>IF(AR64="","",IF(AA64='Instructions &amp; Reference'!$C$13,Scores!AR64,""))</f>
        <v/>
      </c>
      <c r="Q64" s="28" t="str">
        <f t="shared" si="7"/>
        <v/>
      </c>
      <c r="R64" s="28" t="str">
        <f>IF(AR64="","",IF(AA64='Instructions &amp; Reference'!$C$14,Scores!AR64,""))</f>
        <v/>
      </c>
      <c r="S64" s="29" t="str">
        <f t="shared" si="8"/>
        <v/>
      </c>
      <c r="T64" s="29" t="str">
        <f>IF(AR64="","",IF(AA64='Instructions &amp; Reference'!$C$15,Scores!AR64,""))</f>
        <v/>
      </c>
      <c r="U64" s="28" t="str">
        <f t="shared" si="9"/>
        <v/>
      </c>
      <c r="V64" s="28" t="str">
        <f>IF(AR64="","",IF(AA64='Instructions &amp; Reference'!$C$16,Scores!AR64,""))</f>
        <v/>
      </c>
      <c r="W64" s="29" t="str">
        <f t="shared" si="10"/>
        <v/>
      </c>
      <c r="X64" s="30" t="str">
        <f>IF(AR64="","",IF(AA64='Instructions &amp; Reference'!$C$17,Scores!AR64,""))</f>
        <v/>
      </c>
      <c r="Z64" s="32" t="str">
        <f>IF('Teams &amp; HM'!A98="","",'Teams &amp; HM'!A98)</f>
        <v/>
      </c>
      <c r="AA64" s="126" t="str">
        <f>IF('Teams &amp; HM'!H101="","",'Teams &amp; HM'!H101)</f>
        <v/>
      </c>
      <c r="AB64" s="126" t="str">
        <f>IF('Teams &amp; HM'!A101="","",'Teams &amp; HM'!A101)</f>
        <v/>
      </c>
      <c r="AC64" s="126" t="str">
        <f>IF('Teams &amp; HM'!B101="","",'Teams &amp; HM'!B101)</f>
        <v/>
      </c>
      <c r="AE64" s="126" t="str">
        <f>IF(Ride!V64="","",Ride!X64)</f>
        <v/>
      </c>
      <c r="AF64" s="126" t="str">
        <f>IF(Run!L64="","",Run!L64)</f>
        <v/>
      </c>
      <c r="AG64" s="126" t="str">
        <f>IF(Shoot!J64="","",Shoot!J64)</f>
        <v/>
      </c>
      <c r="AH64" s="126" t="str">
        <f>IF(Swim!K64="","",Swim!K64)</f>
        <v/>
      </c>
      <c r="AI64" s="126" t="str">
        <f t="shared" si="11"/>
        <v/>
      </c>
      <c r="AK64" s="7"/>
      <c r="AL64" s="58" t="str">
        <f t="shared" si="12"/>
        <v/>
      </c>
      <c r="AN64" s="127" t="str">
        <f>IF('Teams &amp; HM'!Q101="","",'Teams &amp; HM'!Q101)</f>
        <v/>
      </c>
      <c r="AO64" s="127" t="str">
        <f>IF('Teams &amp; HM'!R101="","",'Teams &amp; HM'!R101)</f>
        <v/>
      </c>
      <c r="AP64" s="129"/>
      <c r="AR64" s="59" t="str">
        <f t="shared" si="13"/>
        <v/>
      </c>
      <c r="AT64" s="132"/>
      <c r="AU64" s="121"/>
    </row>
    <row r="65" spans="1:47" x14ac:dyDescent="0.25">
      <c r="A65" s="28" t="str">
        <f t="shared" si="0"/>
        <v/>
      </c>
      <c r="B65" s="28" t="str">
        <f>IF(AR65="","",IF(AA65='Instructions &amp; Reference'!$C$6,Scores!AR65,""))</f>
        <v/>
      </c>
      <c r="C65" s="29" t="str">
        <f>IF(D65="","",RANK(D65,$D$3:$D144,0))</f>
        <v/>
      </c>
      <c r="D65" s="29" t="str">
        <f>IF(AR65="","",IF(AA65='Instructions &amp; Reference'!$C$7,Scores!AR65,""))</f>
        <v/>
      </c>
      <c r="E65" s="28" t="str">
        <f t="shared" si="1"/>
        <v/>
      </c>
      <c r="F65" s="28" t="str">
        <f>IF(AR65="","",IF(AA65='Instructions &amp; Reference'!$C$8,Scores!AR65,""))</f>
        <v/>
      </c>
      <c r="G65" s="29" t="str">
        <f t="shared" si="2"/>
        <v/>
      </c>
      <c r="H65" s="29" t="str">
        <f>IF(AR65="","",IF(AA65='Instructions &amp; Reference'!$C$9,Scores!AR65,""))</f>
        <v/>
      </c>
      <c r="I65" s="28" t="str">
        <f t="shared" si="3"/>
        <v/>
      </c>
      <c r="J65" s="28" t="str">
        <f>IF(AR65="","",IF(AA65='Instructions &amp; Reference'!$C$10,Scores!AR65,""))</f>
        <v/>
      </c>
      <c r="K65" s="29" t="str">
        <f t="shared" si="4"/>
        <v/>
      </c>
      <c r="L65" s="29" t="str">
        <f>IF(AR65="","",IF(AA65='Instructions &amp; Reference'!$C$11,Scores!AR65,""))</f>
        <v/>
      </c>
      <c r="M65" s="28" t="str">
        <f t="shared" si="5"/>
        <v/>
      </c>
      <c r="N65" s="28" t="str">
        <f>IF(AR65="","",IF(AA65='Instructions &amp; Reference'!$C$12,Scores!AR65,""))</f>
        <v/>
      </c>
      <c r="O65" s="29" t="str">
        <f t="shared" si="6"/>
        <v/>
      </c>
      <c r="P65" s="29" t="str">
        <f>IF(AR65="","",IF(AA65='Instructions &amp; Reference'!$C$13,Scores!AR65,""))</f>
        <v/>
      </c>
      <c r="Q65" s="28" t="str">
        <f t="shared" si="7"/>
        <v/>
      </c>
      <c r="R65" s="28" t="str">
        <f>IF(AR65="","",IF(AA65='Instructions &amp; Reference'!$C$14,Scores!AR65,""))</f>
        <v/>
      </c>
      <c r="S65" s="29" t="str">
        <f t="shared" si="8"/>
        <v/>
      </c>
      <c r="T65" s="29" t="str">
        <f>IF(AR65="","",IF(AA65='Instructions &amp; Reference'!$C$15,Scores!AR65,""))</f>
        <v/>
      </c>
      <c r="U65" s="28" t="str">
        <f t="shared" si="9"/>
        <v/>
      </c>
      <c r="V65" s="28" t="str">
        <f>IF(AR65="","",IF(AA65='Instructions &amp; Reference'!$C$16,Scores!AR65,""))</f>
        <v/>
      </c>
      <c r="W65" s="29" t="str">
        <f t="shared" si="10"/>
        <v/>
      </c>
      <c r="X65" s="30" t="str">
        <f>IF(AR65="","",IF(AA65='Instructions &amp; Reference'!$C$17,Scores!AR65,""))</f>
        <v/>
      </c>
      <c r="Z65" s="32" t="str">
        <f>IF('Teams &amp; HM'!A98="","",'Teams &amp; HM'!A98)</f>
        <v/>
      </c>
      <c r="AA65" s="126" t="str">
        <f>IF('Teams &amp; HM'!H102="","",'Teams &amp; HM'!H102)</f>
        <v/>
      </c>
      <c r="AB65" s="126" t="str">
        <f>IF('Teams &amp; HM'!A102="","",'Teams &amp; HM'!A102)</f>
        <v/>
      </c>
      <c r="AC65" s="126" t="str">
        <f>IF('Teams &amp; HM'!B102="","",'Teams &amp; HM'!B102)</f>
        <v/>
      </c>
      <c r="AE65" s="126" t="str">
        <f>IF(Ride!V65="","",Ride!X65)</f>
        <v/>
      </c>
      <c r="AF65" s="126" t="str">
        <f>IF(Run!L65="","",Run!L65)</f>
        <v/>
      </c>
      <c r="AG65" s="126" t="str">
        <f>IF(Shoot!J65="","",Shoot!J65)</f>
        <v/>
      </c>
      <c r="AH65" s="126" t="str">
        <f>IF(Swim!K65="","",Swim!K65)</f>
        <v/>
      </c>
      <c r="AI65" s="126" t="str">
        <f t="shared" si="11"/>
        <v/>
      </c>
      <c r="AK65" s="7"/>
      <c r="AL65" s="58" t="str">
        <f t="shared" si="12"/>
        <v/>
      </c>
      <c r="AN65" s="127" t="str">
        <f>IF('Teams &amp; HM'!Q102="","",'Teams &amp; HM'!Q102)</f>
        <v/>
      </c>
      <c r="AO65" s="127" t="str">
        <f>IF('Teams &amp; HM'!R102="","",'Teams &amp; HM'!R102)</f>
        <v/>
      </c>
      <c r="AP65" s="129"/>
      <c r="AR65" s="59" t="str">
        <f t="shared" si="13"/>
        <v/>
      </c>
      <c r="AT65" s="132"/>
      <c r="AU65" s="121"/>
    </row>
    <row r="66" spans="1:47" x14ac:dyDescent="0.25">
      <c r="A66" s="28" t="str">
        <f t="shared" si="0"/>
        <v/>
      </c>
      <c r="B66" s="28" t="str">
        <f>IF(AR66="","",IF(AA66='Instructions &amp; Reference'!$C$6,Scores!AR66,""))</f>
        <v/>
      </c>
      <c r="C66" s="29" t="str">
        <f>IF(D66="","",RANK(D66,$D$3:$D145,0))</f>
        <v/>
      </c>
      <c r="D66" s="29" t="str">
        <f>IF(AR66="","",IF(AA66='Instructions &amp; Reference'!$C$7,Scores!AR66,""))</f>
        <v/>
      </c>
      <c r="E66" s="28" t="str">
        <f t="shared" si="1"/>
        <v/>
      </c>
      <c r="F66" s="28" t="str">
        <f>IF(AR66="","",IF(AA66='Instructions &amp; Reference'!$C$8,Scores!AR66,""))</f>
        <v/>
      </c>
      <c r="G66" s="29" t="str">
        <f t="shared" si="2"/>
        <v/>
      </c>
      <c r="H66" s="29" t="str">
        <f>IF(AR66="","",IF(AA66='Instructions &amp; Reference'!$C$9,Scores!AR66,""))</f>
        <v/>
      </c>
      <c r="I66" s="28" t="str">
        <f t="shared" si="3"/>
        <v/>
      </c>
      <c r="J66" s="28" t="str">
        <f>IF(AR66="","",IF(AA66='Instructions &amp; Reference'!$C$10,Scores!AR66,""))</f>
        <v/>
      </c>
      <c r="K66" s="29" t="str">
        <f t="shared" si="4"/>
        <v/>
      </c>
      <c r="L66" s="29" t="str">
        <f>IF(AR66="","",IF(AA66='Instructions &amp; Reference'!$C$11,Scores!AR66,""))</f>
        <v/>
      </c>
      <c r="M66" s="28" t="str">
        <f t="shared" si="5"/>
        <v/>
      </c>
      <c r="N66" s="28" t="str">
        <f>IF(AR66="","",IF(AA66='Instructions &amp; Reference'!$C$12,Scores!AR66,""))</f>
        <v/>
      </c>
      <c r="O66" s="29" t="str">
        <f t="shared" si="6"/>
        <v/>
      </c>
      <c r="P66" s="29" t="str">
        <f>IF(AR66="","",IF(AA66='Instructions &amp; Reference'!$C$13,Scores!AR66,""))</f>
        <v/>
      </c>
      <c r="Q66" s="28" t="str">
        <f t="shared" si="7"/>
        <v/>
      </c>
      <c r="R66" s="28" t="str">
        <f>IF(AR66="","",IF(AA66='Instructions &amp; Reference'!$C$14,Scores!AR66,""))</f>
        <v/>
      </c>
      <c r="S66" s="29" t="str">
        <f t="shared" si="8"/>
        <v/>
      </c>
      <c r="T66" s="29" t="str">
        <f>IF(AR66="","",IF(AA66='Instructions &amp; Reference'!$C$15,Scores!AR66,""))</f>
        <v/>
      </c>
      <c r="U66" s="28" t="str">
        <f t="shared" si="9"/>
        <v/>
      </c>
      <c r="V66" s="28" t="str">
        <f>IF(AR66="","",IF(AA66='Instructions &amp; Reference'!$C$16,Scores!AR66,""))</f>
        <v/>
      </c>
      <c r="W66" s="29" t="str">
        <f t="shared" si="10"/>
        <v/>
      </c>
      <c r="X66" s="30" t="str">
        <f>IF(AR66="","",IF(AA66='Instructions &amp; Reference'!$C$17,Scores!AR66,""))</f>
        <v/>
      </c>
      <c r="Z66" s="32" t="str">
        <f>IF('Teams &amp; HM'!A98="","",'Teams &amp; HM'!A98)</f>
        <v/>
      </c>
      <c r="AA66" s="126" t="str">
        <f>IF('Teams &amp; HM'!H103="","",'Teams &amp; HM'!H103)</f>
        <v/>
      </c>
      <c r="AB66" s="126" t="str">
        <f>IF('Teams &amp; HM'!A103="","",'Teams &amp; HM'!A103)</f>
        <v/>
      </c>
      <c r="AC66" s="126" t="str">
        <f>IF('Teams &amp; HM'!B103="","",'Teams &amp; HM'!B103)</f>
        <v/>
      </c>
      <c r="AE66" s="126" t="str">
        <f>IF(Ride!V66="","",Ride!X66)</f>
        <v/>
      </c>
      <c r="AF66" s="126" t="str">
        <f>IF(Run!L66="","",Run!L66)</f>
        <v/>
      </c>
      <c r="AG66" s="126" t="str">
        <f>IF(Shoot!J66="","",Shoot!J66)</f>
        <v/>
      </c>
      <c r="AH66" s="126" t="str">
        <f>IF(Swim!K66="","",Swim!K66)</f>
        <v/>
      </c>
      <c r="AI66" s="126" t="str">
        <f t="shared" si="11"/>
        <v/>
      </c>
      <c r="AK66" s="7"/>
      <c r="AL66" s="58" t="str">
        <f t="shared" si="12"/>
        <v/>
      </c>
      <c r="AN66" s="127" t="str">
        <f>IF('Teams &amp; HM'!Q103="","",'Teams &amp; HM'!Q103)</f>
        <v/>
      </c>
      <c r="AO66" s="127" t="str">
        <f>IF('Teams &amp; HM'!R103="","",'Teams &amp; HM'!R103)</f>
        <v/>
      </c>
      <c r="AP66" s="129"/>
      <c r="AR66" s="59" t="str">
        <f t="shared" si="13"/>
        <v/>
      </c>
      <c r="AT66" s="132"/>
      <c r="AU66" s="121"/>
    </row>
    <row r="67" spans="1:47" x14ac:dyDescent="0.25">
      <c r="A67" s="28" t="str">
        <f t="shared" si="0"/>
        <v/>
      </c>
      <c r="B67" s="28" t="str">
        <f>IF(AR67="","",IF(AA67='Instructions &amp; Reference'!$C$6,Scores!AR67,""))</f>
        <v/>
      </c>
      <c r="C67" s="29" t="str">
        <f>IF(D67="","",RANK(D67,$D$3:$D146,0))</f>
        <v/>
      </c>
      <c r="D67" s="29" t="str">
        <f>IF(AR67="","",IF(AA67='Instructions &amp; Reference'!$C$7,Scores!AR67,""))</f>
        <v/>
      </c>
      <c r="E67" s="28" t="str">
        <f t="shared" si="1"/>
        <v/>
      </c>
      <c r="F67" s="28" t="str">
        <f>IF(AR67="","",IF(AA67='Instructions &amp; Reference'!$C$8,Scores!AR67,""))</f>
        <v/>
      </c>
      <c r="G67" s="29" t="str">
        <f t="shared" si="2"/>
        <v/>
      </c>
      <c r="H67" s="29" t="str">
        <f>IF(AR67="","",IF(AA67='Instructions &amp; Reference'!$C$9,Scores!AR67,""))</f>
        <v/>
      </c>
      <c r="I67" s="28" t="str">
        <f t="shared" si="3"/>
        <v/>
      </c>
      <c r="J67" s="28" t="str">
        <f>IF(AR67="","",IF(AA67='Instructions &amp; Reference'!$C$10,Scores!AR67,""))</f>
        <v/>
      </c>
      <c r="K67" s="29" t="str">
        <f t="shared" si="4"/>
        <v/>
      </c>
      <c r="L67" s="29" t="str">
        <f>IF(AR67="","",IF(AA67='Instructions &amp; Reference'!$C$11,Scores!AR67,""))</f>
        <v/>
      </c>
      <c r="M67" s="28" t="str">
        <f t="shared" si="5"/>
        <v/>
      </c>
      <c r="N67" s="28" t="str">
        <f>IF(AR67="","",IF(AA67='Instructions &amp; Reference'!$C$12,Scores!AR67,""))</f>
        <v/>
      </c>
      <c r="O67" s="29" t="str">
        <f t="shared" si="6"/>
        <v/>
      </c>
      <c r="P67" s="29" t="str">
        <f>IF(AR67="","",IF(AA67='Instructions &amp; Reference'!$C$13,Scores!AR67,""))</f>
        <v/>
      </c>
      <c r="Q67" s="28" t="str">
        <f t="shared" si="7"/>
        <v/>
      </c>
      <c r="R67" s="28" t="str">
        <f>IF(AR67="","",IF(AA67='Instructions &amp; Reference'!$C$14,Scores!AR67,""))</f>
        <v/>
      </c>
      <c r="S67" s="29" t="str">
        <f t="shared" si="8"/>
        <v/>
      </c>
      <c r="T67" s="29" t="str">
        <f>IF(AR67="","",IF(AA67='Instructions &amp; Reference'!$C$15,Scores!AR67,""))</f>
        <v/>
      </c>
      <c r="U67" s="28" t="str">
        <f t="shared" si="9"/>
        <v/>
      </c>
      <c r="V67" s="28" t="str">
        <f>IF(AR67="","",IF(AA67='Instructions &amp; Reference'!$C$16,Scores!AR67,""))</f>
        <v/>
      </c>
      <c r="W67" s="29" t="str">
        <f t="shared" si="10"/>
        <v/>
      </c>
      <c r="X67" s="30" t="str">
        <f>IF(AR67="","",IF(AA67='Instructions &amp; Reference'!$C$17,Scores!AR67,""))</f>
        <v/>
      </c>
      <c r="Z67" s="32" t="str">
        <f>IF('Teams &amp; HM'!A98="","",'Teams &amp; HM'!A98)</f>
        <v/>
      </c>
      <c r="AA67" s="126" t="str">
        <f>IF('Teams &amp; HM'!H104="","",'Teams &amp; HM'!H104)</f>
        <v/>
      </c>
      <c r="AB67" s="126" t="str">
        <f>IF('Teams &amp; HM'!A104="","",'Teams &amp; HM'!A104)</f>
        <v/>
      </c>
      <c r="AC67" s="126" t="str">
        <f>IF('Teams &amp; HM'!B104="","",'Teams &amp; HM'!B104)</f>
        <v/>
      </c>
      <c r="AE67" s="126" t="str">
        <f>IF(Ride!V67="","",Ride!X67)</f>
        <v/>
      </c>
      <c r="AF67" s="126" t="str">
        <f>IF(Run!L67="","",Run!L67)</f>
        <v/>
      </c>
      <c r="AG67" s="126" t="str">
        <f>IF(Shoot!J67="","",Shoot!J67)</f>
        <v/>
      </c>
      <c r="AH67" s="126" t="str">
        <f>IF(Swim!K67="","",Swim!K67)</f>
        <v/>
      </c>
      <c r="AI67" s="126" t="str">
        <f t="shared" si="11"/>
        <v/>
      </c>
      <c r="AK67" s="7"/>
      <c r="AL67" s="58" t="str">
        <f t="shared" si="12"/>
        <v/>
      </c>
      <c r="AN67" s="127" t="str">
        <f>IF('Teams &amp; HM'!Q104="","",'Teams &amp; HM'!Q104)</f>
        <v/>
      </c>
      <c r="AO67" s="127" t="str">
        <f>IF('Teams &amp; HM'!R104="","",'Teams &amp; HM'!R104)</f>
        <v/>
      </c>
      <c r="AP67" s="130"/>
      <c r="AR67" s="59" t="str">
        <f t="shared" si="13"/>
        <v/>
      </c>
      <c r="AT67" s="133"/>
      <c r="AU67" s="122"/>
    </row>
    <row r="68" spans="1:47" x14ac:dyDescent="0.25">
      <c r="A68" s="28" t="str">
        <f t="shared" ref="A68:A82" si="14">IF(B68="","",RANK(B68,$B$3:$B$82))</f>
        <v/>
      </c>
      <c r="B68" s="28" t="str">
        <f>IF(AR68="","",IF(AA68='Instructions &amp; Reference'!$C$6,Scores!AR68,""))</f>
        <v/>
      </c>
      <c r="C68" s="29" t="str">
        <f>IF(D68="","",RANK(D68,$D$3:$D147,0))</f>
        <v/>
      </c>
      <c r="D68" s="29" t="str">
        <f>IF(AR68="","",IF(AA68='Instructions &amp; Reference'!$C$7,Scores!AR68,""))</f>
        <v/>
      </c>
      <c r="E68" s="28" t="str">
        <f t="shared" ref="E68:E82" si="15">IF(F68="","",RANK(F68,$F$3:$F$82,0))</f>
        <v/>
      </c>
      <c r="F68" s="28" t="str">
        <f>IF(AR68="","",IF(AA68='Instructions &amp; Reference'!$C$8,Scores!AR68,""))</f>
        <v/>
      </c>
      <c r="G68" s="29" t="str">
        <f t="shared" ref="G68:G82" si="16">IF(H68="","",RANK(H68,$H$3:$H$82,0))</f>
        <v/>
      </c>
      <c r="H68" s="29" t="str">
        <f>IF(AR68="","",IF(AA68='Instructions &amp; Reference'!$C$9,Scores!AR68,""))</f>
        <v/>
      </c>
      <c r="I68" s="28" t="str">
        <f t="shared" ref="I68:I82" si="17">IF(J68="","",RANK(J68,$J$3:$J$82,0))</f>
        <v/>
      </c>
      <c r="J68" s="28" t="str">
        <f>IF(AR68="","",IF(AA68='Instructions &amp; Reference'!$C$10,Scores!AR68,""))</f>
        <v/>
      </c>
      <c r="K68" s="29" t="str">
        <f t="shared" ref="K68:K82" si="18">IF(L68="","",RANK(L68,$L$3:$L$82,0))</f>
        <v/>
      </c>
      <c r="L68" s="29" t="str">
        <f>IF(AR68="","",IF(AA68='Instructions &amp; Reference'!$C$11,Scores!AR68,""))</f>
        <v/>
      </c>
      <c r="M68" s="28" t="str">
        <f t="shared" ref="M68:M82" si="19">IF(N68="","",RANK(N68,$N$3:$N$82,0))</f>
        <v/>
      </c>
      <c r="N68" s="28" t="str">
        <f>IF(AR68="","",IF(AA68='Instructions &amp; Reference'!$C$12,Scores!AR68,""))</f>
        <v/>
      </c>
      <c r="O68" s="29" t="str">
        <f t="shared" ref="O68:O82" si="20">IF(P68="","",RANK(P68,$P$3:$P$82,0))</f>
        <v/>
      </c>
      <c r="P68" s="29" t="str">
        <f>IF(AR68="","",IF(AA68='Instructions &amp; Reference'!$C$13,Scores!AR68,""))</f>
        <v/>
      </c>
      <c r="Q68" s="28" t="str">
        <f t="shared" ref="Q68:Q82" si="21">IF(R68="","",RANK(R68,$R$3:$R$82,0))</f>
        <v/>
      </c>
      <c r="R68" s="28" t="str">
        <f>IF(AR68="","",IF(AA68='Instructions &amp; Reference'!$C$14,Scores!AR68,""))</f>
        <v/>
      </c>
      <c r="S68" s="29" t="str">
        <f t="shared" ref="S68:S82" si="22">IF(T68="","",RANK(T68,$T$3:$T$82,0))</f>
        <v/>
      </c>
      <c r="T68" s="29" t="str">
        <f>IF(AR68="","",IF(AA68='Instructions &amp; Reference'!$C$15,Scores!AR68,""))</f>
        <v/>
      </c>
      <c r="U68" s="28" t="str">
        <f t="shared" ref="U68:U82" si="23">IF(V68="","",RANK(V68,$V$3:$V$82,0))</f>
        <v/>
      </c>
      <c r="V68" s="28" t="str">
        <f>IF(AR68="","",IF(AA68='Instructions &amp; Reference'!$C$16,Scores!AR68,""))</f>
        <v/>
      </c>
      <c r="W68" s="29" t="str">
        <f t="shared" ref="W68:W82" si="24">IF(X68="","",RANK(X68,$X$3:$X$82,0))</f>
        <v/>
      </c>
      <c r="X68" s="30" t="str">
        <f>IF(AR68="","",IF(AA68='Instructions &amp; Reference'!$C$17,Scores!AR68,""))</f>
        <v/>
      </c>
      <c r="Z68" s="32" t="str">
        <f>IF('Teams &amp; HM'!A106="","",'Teams &amp; HM'!A106)</f>
        <v/>
      </c>
      <c r="AA68" s="126" t="str">
        <f>IF('Teams &amp; HM'!H108="","",'Teams &amp; HM'!H108)</f>
        <v/>
      </c>
      <c r="AB68" s="126" t="str">
        <f>IF('Teams &amp; HM'!A108="","",'Teams &amp; HM'!A108)</f>
        <v/>
      </c>
      <c r="AC68" s="126" t="str">
        <f>IF('Teams &amp; HM'!B108="","",'Teams &amp; HM'!B108)</f>
        <v/>
      </c>
      <c r="AE68" s="126" t="str">
        <f>IF(Ride!V68="","",Ride!X68)</f>
        <v/>
      </c>
      <c r="AF68" s="126" t="str">
        <f>IF(Run!L68="","",Run!L68)</f>
        <v/>
      </c>
      <c r="AG68" s="126" t="str">
        <f>IF(Shoot!J68="","",Shoot!J68)</f>
        <v/>
      </c>
      <c r="AH68" s="126" t="str">
        <f>IF(Swim!K68="","",Swim!K68)</f>
        <v/>
      </c>
      <c r="AI68" s="126" t="str">
        <f t="shared" ref="AI68:AI82" si="25">IF(AE68="","",SUM(AE68:AH68))</f>
        <v/>
      </c>
      <c r="AK68" s="7"/>
      <c r="AL68" s="58" t="str">
        <f t="shared" ref="AL68:AL102" si="26">IF(AI68="","",IF(AK68="",AI68,SUM(AI68+AK68)))</f>
        <v/>
      </c>
      <c r="AN68" s="127" t="str">
        <f>IF('Teams &amp; HM'!Q108="","",'Teams &amp; HM'!Q108)</f>
        <v/>
      </c>
      <c r="AO68" s="127" t="str">
        <f>IF('Teams &amp; HM'!R108="","",'Teams &amp; HM'!R108)</f>
        <v/>
      </c>
      <c r="AP68" s="128">
        <f>IF('Teams &amp; HM'!T108="","",'Teams &amp; HM'!T108)</f>
        <v>0</v>
      </c>
      <c r="AR68" s="59" t="str">
        <f t="shared" ref="AR68:AR102" si="27">IF(AI68="","",SUM(AL68,AO68))</f>
        <v/>
      </c>
      <c r="AT68" s="131"/>
      <c r="AU68" s="120" t="str">
        <f>IF(AC68="","",SUM(Ride!Y68+Run!M68+Shoot!K68+Swim!L68+AP68+AT68))</f>
        <v/>
      </c>
    </row>
    <row r="69" spans="1:47" x14ac:dyDescent="0.25">
      <c r="A69" s="28" t="str">
        <f t="shared" si="14"/>
        <v/>
      </c>
      <c r="B69" s="28" t="str">
        <f>IF(AR69="","",IF(AA69='Instructions &amp; Reference'!$C$6,Scores!AR69,""))</f>
        <v/>
      </c>
      <c r="C69" s="29" t="str">
        <f>IF(D69="","",RANK(D69,$D$3:$D148,0))</f>
        <v/>
      </c>
      <c r="D69" s="29" t="str">
        <f>IF(AR69="","",IF(AA69='Instructions &amp; Reference'!$C$7,Scores!AR69,""))</f>
        <v/>
      </c>
      <c r="E69" s="28" t="str">
        <f t="shared" si="15"/>
        <v/>
      </c>
      <c r="F69" s="28" t="str">
        <f>IF(AR69="","",IF(AA69='Instructions &amp; Reference'!$C$8,Scores!AR69,""))</f>
        <v/>
      </c>
      <c r="G69" s="29" t="str">
        <f t="shared" si="16"/>
        <v/>
      </c>
      <c r="H69" s="29" t="str">
        <f>IF(AR69="","",IF(AA69='Instructions &amp; Reference'!$C$9,Scores!AR69,""))</f>
        <v/>
      </c>
      <c r="I69" s="28" t="str">
        <f t="shared" si="17"/>
        <v/>
      </c>
      <c r="J69" s="28" t="str">
        <f>IF(AR69="","",IF(AA69='Instructions &amp; Reference'!$C$10,Scores!AR69,""))</f>
        <v/>
      </c>
      <c r="K69" s="29" t="str">
        <f t="shared" si="18"/>
        <v/>
      </c>
      <c r="L69" s="29" t="str">
        <f>IF(AR69="","",IF(AA69='Instructions &amp; Reference'!$C$11,Scores!AR69,""))</f>
        <v/>
      </c>
      <c r="M69" s="28" t="str">
        <f t="shared" si="19"/>
        <v/>
      </c>
      <c r="N69" s="28" t="str">
        <f>IF(AR69="","",IF(AA69='Instructions &amp; Reference'!$C$12,Scores!AR69,""))</f>
        <v/>
      </c>
      <c r="O69" s="29" t="str">
        <f t="shared" si="20"/>
        <v/>
      </c>
      <c r="P69" s="29" t="str">
        <f>IF(AR69="","",IF(AA69='Instructions &amp; Reference'!$C$13,Scores!AR69,""))</f>
        <v/>
      </c>
      <c r="Q69" s="28" t="str">
        <f t="shared" si="21"/>
        <v/>
      </c>
      <c r="R69" s="28" t="str">
        <f>IF(AR69="","",IF(AA69='Instructions &amp; Reference'!$C$14,Scores!AR69,""))</f>
        <v/>
      </c>
      <c r="S69" s="29" t="str">
        <f t="shared" si="22"/>
        <v/>
      </c>
      <c r="T69" s="29" t="str">
        <f>IF(AR69="","",IF(AA69='Instructions &amp; Reference'!$C$15,Scores!AR69,""))</f>
        <v/>
      </c>
      <c r="U69" s="28" t="str">
        <f t="shared" si="23"/>
        <v/>
      </c>
      <c r="V69" s="28" t="str">
        <f>IF(AR69="","",IF(AA69='Instructions &amp; Reference'!$C$16,Scores!AR69,""))</f>
        <v/>
      </c>
      <c r="W69" s="29" t="str">
        <f t="shared" si="24"/>
        <v/>
      </c>
      <c r="X69" s="30" t="str">
        <f>IF(AR69="","",IF(AA69='Instructions &amp; Reference'!$C$17,Scores!AR69,""))</f>
        <v/>
      </c>
      <c r="Z69" s="32" t="str">
        <f>IF('Teams &amp; HM'!A106="","",'Teams &amp; HM'!A106)</f>
        <v/>
      </c>
      <c r="AA69" s="126" t="str">
        <f>IF('Teams &amp; HM'!H109="","",'Teams &amp; HM'!H109)</f>
        <v/>
      </c>
      <c r="AB69" s="126" t="str">
        <f>IF('Teams &amp; HM'!A109="","",'Teams &amp; HM'!A109)</f>
        <v/>
      </c>
      <c r="AC69" s="126" t="str">
        <f>IF('Teams &amp; HM'!B109="","",'Teams &amp; HM'!B109)</f>
        <v/>
      </c>
      <c r="AE69" s="126" t="str">
        <f>IF(Ride!V69="","",Ride!X69)</f>
        <v/>
      </c>
      <c r="AF69" s="126" t="str">
        <f>IF(Run!L69="","",Run!L69)</f>
        <v/>
      </c>
      <c r="AG69" s="126" t="str">
        <f>IF(Shoot!J69="","",Shoot!J69)</f>
        <v/>
      </c>
      <c r="AH69" s="126" t="str">
        <f>IF(Swim!K69="","",Swim!K69)</f>
        <v/>
      </c>
      <c r="AI69" s="126" t="str">
        <f t="shared" si="25"/>
        <v/>
      </c>
      <c r="AK69" s="7"/>
      <c r="AL69" s="58" t="str">
        <f t="shared" si="26"/>
        <v/>
      </c>
      <c r="AN69" s="127" t="str">
        <f>IF('Teams &amp; HM'!Q109="","",'Teams &amp; HM'!Q109)</f>
        <v/>
      </c>
      <c r="AO69" s="127" t="str">
        <f>IF('Teams &amp; HM'!R109="","",'Teams &amp; HM'!R109)</f>
        <v/>
      </c>
      <c r="AP69" s="129"/>
      <c r="AR69" s="59" t="str">
        <f t="shared" si="27"/>
        <v/>
      </c>
      <c r="AT69" s="132"/>
      <c r="AU69" s="121"/>
    </row>
    <row r="70" spans="1:47" x14ac:dyDescent="0.25">
      <c r="A70" s="28" t="str">
        <f t="shared" si="14"/>
        <v/>
      </c>
      <c r="B70" s="28" t="str">
        <f>IF(AR70="","",IF(AA70='Instructions &amp; Reference'!$C$6,Scores!AR70,""))</f>
        <v/>
      </c>
      <c r="C70" s="29" t="str">
        <f>IF(D70="","",RANK(D70,$D$3:$D149,0))</f>
        <v/>
      </c>
      <c r="D70" s="29" t="str">
        <f>IF(AR70="","",IF(AA70='Instructions &amp; Reference'!$C$7,Scores!AR70,""))</f>
        <v/>
      </c>
      <c r="E70" s="28" t="str">
        <f t="shared" si="15"/>
        <v/>
      </c>
      <c r="F70" s="28" t="str">
        <f>IF(AR70="","",IF(AA70='Instructions &amp; Reference'!$C$8,Scores!AR70,""))</f>
        <v/>
      </c>
      <c r="G70" s="29" t="str">
        <f t="shared" si="16"/>
        <v/>
      </c>
      <c r="H70" s="29" t="str">
        <f>IF(AR70="","",IF(AA70='Instructions &amp; Reference'!$C$9,Scores!AR70,""))</f>
        <v/>
      </c>
      <c r="I70" s="28" t="str">
        <f t="shared" si="17"/>
        <v/>
      </c>
      <c r="J70" s="28" t="str">
        <f>IF(AR70="","",IF(AA70='Instructions &amp; Reference'!$C$10,Scores!AR70,""))</f>
        <v/>
      </c>
      <c r="K70" s="29" t="str">
        <f t="shared" si="18"/>
        <v/>
      </c>
      <c r="L70" s="29" t="str">
        <f>IF(AR70="","",IF(AA70='Instructions &amp; Reference'!$C$11,Scores!AR70,""))</f>
        <v/>
      </c>
      <c r="M70" s="28" t="str">
        <f t="shared" si="19"/>
        <v/>
      </c>
      <c r="N70" s="28" t="str">
        <f>IF(AR70="","",IF(AA70='Instructions &amp; Reference'!$C$12,Scores!AR70,""))</f>
        <v/>
      </c>
      <c r="O70" s="29" t="str">
        <f t="shared" si="20"/>
        <v/>
      </c>
      <c r="P70" s="29" t="str">
        <f>IF(AR70="","",IF(AA70='Instructions &amp; Reference'!$C$13,Scores!AR70,""))</f>
        <v/>
      </c>
      <c r="Q70" s="28" t="str">
        <f t="shared" si="21"/>
        <v/>
      </c>
      <c r="R70" s="28" t="str">
        <f>IF(AR70="","",IF(AA70='Instructions &amp; Reference'!$C$14,Scores!AR70,""))</f>
        <v/>
      </c>
      <c r="S70" s="29" t="str">
        <f t="shared" si="22"/>
        <v/>
      </c>
      <c r="T70" s="29" t="str">
        <f>IF(AR70="","",IF(AA70='Instructions &amp; Reference'!$C$15,Scores!AR70,""))</f>
        <v/>
      </c>
      <c r="U70" s="28" t="str">
        <f t="shared" si="23"/>
        <v/>
      </c>
      <c r="V70" s="28" t="str">
        <f>IF(AR70="","",IF(AA70='Instructions &amp; Reference'!$C$16,Scores!AR70,""))</f>
        <v/>
      </c>
      <c r="W70" s="29" t="str">
        <f t="shared" si="24"/>
        <v/>
      </c>
      <c r="X70" s="30" t="str">
        <f>IF(AR70="","",IF(AA70='Instructions &amp; Reference'!$C$17,Scores!AR70,""))</f>
        <v/>
      </c>
      <c r="Z70" s="32" t="str">
        <f>IF('Teams &amp; HM'!A106="","",'Teams &amp; HM'!A106)</f>
        <v/>
      </c>
      <c r="AA70" s="126" t="str">
        <f>IF('Teams &amp; HM'!H110="","",'Teams &amp; HM'!H110)</f>
        <v/>
      </c>
      <c r="AB70" s="126" t="str">
        <f>IF('Teams &amp; HM'!A110="","",'Teams &amp; HM'!A110)</f>
        <v/>
      </c>
      <c r="AC70" s="126" t="str">
        <f>IF('Teams &amp; HM'!B110="","",'Teams &amp; HM'!B110)</f>
        <v/>
      </c>
      <c r="AE70" s="126" t="str">
        <f>IF(Ride!V70="","",Ride!X70)</f>
        <v/>
      </c>
      <c r="AF70" s="126" t="str">
        <f>IF(Run!L70="","",Run!L70)</f>
        <v/>
      </c>
      <c r="AG70" s="126" t="str">
        <f>IF(Shoot!J70="","",Shoot!J70)</f>
        <v/>
      </c>
      <c r="AH70" s="126" t="str">
        <f>IF(Swim!K70="","",Swim!K70)</f>
        <v/>
      </c>
      <c r="AI70" s="126" t="str">
        <f t="shared" si="25"/>
        <v/>
      </c>
      <c r="AK70" s="7"/>
      <c r="AL70" s="58" t="str">
        <f t="shared" si="26"/>
        <v/>
      </c>
      <c r="AN70" s="127" t="str">
        <f>IF('Teams &amp; HM'!Q110="","",'Teams &amp; HM'!Q110)</f>
        <v/>
      </c>
      <c r="AO70" s="127" t="str">
        <f>IF('Teams &amp; HM'!R110="","",'Teams &amp; HM'!R110)</f>
        <v/>
      </c>
      <c r="AP70" s="129"/>
      <c r="AR70" s="59" t="str">
        <f t="shared" si="27"/>
        <v/>
      </c>
      <c r="AT70" s="132"/>
      <c r="AU70" s="121"/>
    </row>
    <row r="71" spans="1:47" x14ac:dyDescent="0.25">
      <c r="A71" s="28" t="str">
        <f t="shared" si="14"/>
        <v/>
      </c>
      <c r="B71" s="28" t="str">
        <f>IF(AR71="","",IF(AA71='Instructions &amp; Reference'!$C$6,Scores!AR71,""))</f>
        <v/>
      </c>
      <c r="C71" s="29" t="str">
        <f>IF(D71="","",RANK(D71,$D$3:$D150,0))</f>
        <v/>
      </c>
      <c r="D71" s="29" t="str">
        <f>IF(AR71="","",IF(AA71='Instructions &amp; Reference'!$C$7,Scores!AR71,""))</f>
        <v/>
      </c>
      <c r="E71" s="28" t="str">
        <f t="shared" si="15"/>
        <v/>
      </c>
      <c r="F71" s="28" t="str">
        <f>IF(AR71="","",IF(AA71='Instructions &amp; Reference'!$C$8,Scores!AR71,""))</f>
        <v/>
      </c>
      <c r="G71" s="29" t="str">
        <f t="shared" si="16"/>
        <v/>
      </c>
      <c r="H71" s="29" t="str">
        <f>IF(AR71="","",IF(AA71='Instructions &amp; Reference'!$C$9,Scores!AR71,""))</f>
        <v/>
      </c>
      <c r="I71" s="28" t="str">
        <f t="shared" si="17"/>
        <v/>
      </c>
      <c r="J71" s="28" t="str">
        <f>IF(AR71="","",IF(AA71='Instructions &amp; Reference'!$C$10,Scores!AR71,""))</f>
        <v/>
      </c>
      <c r="K71" s="29" t="str">
        <f t="shared" si="18"/>
        <v/>
      </c>
      <c r="L71" s="29" t="str">
        <f>IF(AR71="","",IF(AA71='Instructions &amp; Reference'!$C$11,Scores!AR71,""))</f>
        <v/>
      </c>
      <c r="M71" s="28" t="str">
        <f t="shared" si="19"/>
        <v/>
      </c>
      <c r="N71" s="28" t="str">
        <f>IF(AR71="","",IF(AA71='Instructions &amp; Reference'!$C$12,Scores!AR71,""))</f>
        <v/>
      </c>
      <c r="O71" s="29" t="str">
        <f t="shared" si="20"/>
        <v/>
      </c>
      <c r="P71" s="29" t="str">
        <f>IF(AR71="","",IF(AA71='Instructions &amp; Reference'!$C$13,Scores!AR71,""))</f>
        <v/>
      </c>
      <c r="Q71" s="28" t="str">
        <f t="shared" si="21"/>
        <v/>
      </c>
      <c r="R71" s="28" t="str">
        <f>IF(AR71="","",IF(AA71='Instructions &amp; Reference'!$C$14,Scores!AR71,""))</f>
        <v/>
      </c>
      <c r="S71" s="29" t="str">
        <f t="shared" si="22"/>
        <v/>
      </c>
      <c r="T71" s="29" t="str">
        <f>IF(AR71="","",IF(AA71='Instructions &amp; Reference'!$C$15,Scores!AR71,""))</f>
        <v/>
      </c>
      <c r="U71" s="28" t="str">
        <f t="shared" si="23"/>
        <v/>
      </c>
      <c r="V71" s="28" t="str">
        <f>IF(AR71="","",IF(AA71='Instructions &amp; Reference'!$C$16,Scores!AR71,""))</f>
        <v/>
      </c>
      <c r="W71" s="29" t="str">
        <f t="shared" si="24"/>
        <v/>
      </c>
      <c r="X71" s="30" t="str">
        <f>IF(AR71="","",IF(AA71='Instructions &amp; Reference'!$C$17,Scores!AR71,""))</f>
        <v/>
      </c>
      <c r="Z71" s="32" t="str">
        <f>IF('Teams &amp; HM'!A106="","",'Teams &amp; HM'!A106)</f>
        <v/>
      </c>
      <c r="AA71" s="126" t="str">
        <f>IF('Teams &amp; HM'!H111="","",'Teams &amp; HM'!H111)</f>
        <v/>
      </c>
      <c r="AB71" s="126" t="str">
        <f>IF('Teams &amp; HM'!A111="","",'Teams &amp; HM'!A111)</f>
        <v/>
      </c>
      <c r="AC71" s="126" t="str">
        <f>IF('Teams &amp; HM'!B111="","",'Teams &amp; HM'!B111)</f>
        <v/>
      </c>
      <c r="AE71" s="126" t="str">
        <f>IF(Ride!V71="","",Ride!X71)</f>
        <v/>
      </c>
      <c r="AF71" s="126" t="str">
        <f>IF(Run!L71="","",Run!L71)</f>
        <v/>
      </c>
      <c r="AG71" s="126" t="str">
        <f>IF(Shoot!J71="","",Shoot!J71)</f>
        <v/>
      </c>
      <c r="AH71" s="126" t="str">
        <f>IF(Swim!K71="","",Swim!K71)</f>
        <v/>
      </c>
      <c r="AI71" s="126" t="str">
        <f t="shared" si="25"/>
        <v/>
      </c>
      <c r="AK71" s="7"/>
      <c r="AL71" s="58" t="str">
        <f t="shared" si="26"/>
        <v/>
      </c>
      <c r="AN71" s="127" t="str">
        <f>IF('Teams &amp; HM'!Q111="","",'Teams &amp; HM'!Q111)</f>
        <v/>
      </c>
      <c r="AO71" s="127" t="str">
        <f>IF('Teams &amp; HM'!R111="","",'Teams &amp; HM'!R111)</f>
        <v/>
      </c>
      <c r="AP71" s="129"/>
      <c r="AR71" s="59" t="str">
        <f t="shared" si="27"/>
        <v/>
      </c>
      <c r="AT71" s="132"/>
      <c r="AU71" s="121"/>
    </row>
    <row r="72" spans="1:47" x14ac:dyDescent="0.25">
      <c r="A72" s="28" t="str">
        <f t="shared" si="14"/>
        <v/>
      </c>
      <c r="B72" s="28" t="str">
        <f>IF(AR72="","",IF(AA72='Instructions &amp; Reference'!$C$6,Scores!AR72,""))</f>
        <v/>
      </c>
      <c r="C72" s="29" t="str">
        <f>IF(D72="","",RANK(D72,$D$3:$D151,0))</f>
        <v/>
      </c>
      <c r="D72" s="29" t="str">
        <f>IF(AR72="","",IF(AA72='Instructions &amp; Reference'!$C$7,Scores!AR72,""))</f>
        <v/>
      </c>
      <c r="E72" s="28" t="str">
        <f t="shared" si="15"/>
        <v/>
      </c>
      <c r="F72" s="28" t="str">
        <f>IF(AR72="","",IF(AA72='Instructions &amp; Reference'!$C$8,Scores!AR72,""))</f>
        <v/>
      </c>
      <c r="G72" s="29" t="str">
        <f t="shared" si="16"/>
        <v/>
      </c>
      <c r="H72" s="29" t="str">
        <f>IF(AR72="","",IF(AA72='Instructions &amp; Reference'!$C$9,Scores!AR72,""))</f>
        <v/>
      </c>
      <c r="I72" s="28" t="str">
        <f t="shared" si="17"/>
        <v/>
      </c>
      <c r="J72" s="28" t="str">
        <f>IF(AR72="","",IF(AA72='Instructions &amp; Reference'!$C$10,Scores!AR72,""))</f>
        <v/>
      </c>
      <c r="K72" s="29" t="str">
        <f t="shared" si="18"/>
        <v/>
      </c>
      <c r="L72" s="29" t="str">
        <f>IF(AR72="","",IF(AA72='Instructions &amp; Reference'!$C$11,Scores!AR72,""))</f>
        <v/>
      </c>
      <c r="M72" s="28" t="str">
        <f t="shared" si="19"/>
        <v/>
      </c>
      <c r="N72" s="28" t="str">
        <f>IF(AR72="","",IF(AA72='Instructions &amp; Reference'!$C$12,Scores!AR72,""))</f>
        <v/>
      </c>
      <c r="O72" s="29" t="str">
        <f t="shared" si="20"/>
        <v/>
      </c>
      <c r="P72" s="29" t="str">
        <f>IF(AR72="","",IF(AA72='Instructions &amp; Reference'!$C$13,Scores!AR72,""))</f>
        <v/>
      </c>
      <c r="Q72" s="28" t="str">
        <f t="shared" si="21"/>
        <v/>
      </c>
      <c r="R72" s="28" t="str">
        <f>IF(AR72="","",IF(AA72='Instructions &amp; Reference'!$C$14,Scores!AR72,""))</f>
        <v/>
      </c>
      <c r="S72" s="29" t="str">
        <f t="shared" si="22"/>
        <v/>
      </c>
      <c r="T72" s="29" t="str">
        <f>IF(AR72="","",IF(AA72='Instructions &amp; Reference'!$C$15,Scores!AR72,""))</f>
        <v/>
      </c>
      <c r="U72" s="28" t="str">
        <f t="shared" si="23"/>
        <v/>
      </c>
      <c r="V72" s="28" t="str">
        <f>IF(AR72="","",IF(AA72='Instructions &amp; Reference'!$C$16,Scores!AR72,""))</f>
        <v/>
      </c>
      <c r="W72" s="29" t="str">
        <f t="shared" si="24"/>
        <v/>
      </c>
      <c r="X72" s="30" t="str">
        <f>IF(AR72="","",IF(AA72='Instructions &amp; Reference'!$C$17,Scores!AR72,""))</f>
        <v/>
      </c>
      <c r="Z72" s="32" t="str">
        <f>IF('Teams &amp; HM'!A106="","",'Teams &amp; HM'!A106)</f>
        <v/>
      </c>
      <c r="AA72" s="126" t="str">
        <f>IF('Teams &amp; HM'!H112="","",'Teams &amp; HM'!H112)</f>
        <v/>
      </c>
      <c r="AB72" s="126" t="str">
        <f>IF('Teams &amp; HM'!A112="","",'Teams &amp; HM'!A112)</f>
        <v/>
      </c>
      <c r="AC72" s="126" t="str">
        <f>IF('Teams &amp; HM'!B112="","",'Teams &amp; HM'!B112)</f>
        <v/>
      </c>
      <c r="AE72" s="126" t="str">
        <f>IF(Ride!V72="","",Ride!X72)</f>
        <v/>
      </c>
      <c r="AF72" s="126" t="str">
        <f>IF(Run!L72="","",Run!L72)</f>
        <v/>
      </c>
      <c r="AG72" s="126" t="str">
        <f>IF(Shoot!J72="","",Shoot!J72)</f>
        <v/>
      </c>
      <c r="AH72" s="126" t="str">
        <f>IF(Swim!K72="","",Swim!K72)</f>
        <v/>
      </c>
      <c r="AI72" s="126" t="str">
        <f t="shared" si="25"/>
        <v/>
      </c>
      <c r="AK72" s="7"/>
      <c r="AL72" s="58" t="str">
        <f t="shared" si="26"/>
        <v/>
      </c>
      <c r="AN72" s="127" t="str">
        <f>IF('Teams &amp; HM'!Q112="","",'Teams &amp; HM'!Q112)</f>
        <v/>
      </c>
      <c r="AO72" s="127" t="str">
        <f>IF('Teams &amp; HM'!R112="","",'Teams &amp; HM'!R112)</f>
        <v/>
      </c>
      <c r="AP72" s="130"/>
      <c r="AR72" s="59" t="str">
        <f t="shared" si="27"/>
        <v/>
      </c>
      <c r="AT72" s="133"/>
      <c r="AU72" s="122"/>
    </row>
    <row r="73" spans="1:47" x14ac:dyDescent="0.25">
      <c r="A73" s="28" t="str">
        <f t="shared" si="14"/>
        <v/>
      </c>
      <c r="B73" s="28" t="str">
        <f>IF(AR73="","",IF(AA73='Instructions &amp; Reference'!$C$6,Scores!AR73,""))</f>
        <v/>
      </c>
      <c r="C73" s="29" t="str">
        <f>IF(D73="","",RANK(D73,$D$3:$D152,0))</f>
        <v/>
      </c>
      <c r="D73" s="29" t="str">
        <f>IF(AR73="","",IF(AA73='Instructions &amp; Reference'!$C$7,Scores!AR73,""))</f>
        <v/>
      </c>
      <c r="E73" s="28" t="str">
        <f t="shared" si="15"/>
        <v/>
      </c>
      <c r="F73" s="28" t="str">
        <f>IF(AR73="","",IF(AA73='Instructions &amp; Reference'!$C$8,Scores!AR73,""))</f>
        <v/>
      </c>
      <c r="G73" s="29" t="str">
        <f t="shared" si="16"/>
        <v/>
      </c>
      <c r="H73" s="29" t="str">
        <f>IF(AR73="","",IF(AA73='Instructions &amp; Reference'!$C$9,Scores!AR73,""))</f>
        <v/>
      </c>
      <c r="I73" s="28" t="str">
        <f t="shared" si="17"/>
        <v/>
      </c>
      <c r="J73" s="28" t="str">
        <f>IF(AR73="","",IF(AA73='Instructions &amp; Reference'!$C$10,Scores!AR73,""))</f>
        <v/>
      </c>
      <c r="K73" s="29" t="str">
        <f t="shared" si="18"/>
        <v/>
      </c>
      <c r="L73" s="29" t="str">
        <f>IF(AR73="","",IF(AA73='Instructions &amp; Reference'!$C$11,Scores!AR73,""))</f>
        <v/>
      </c>
      <c r="M73" s="28" t="str">
        <f t="shared" si="19"/>
        <v/>
      </c>
      <c r="N73" s="28" t="str">
        <f>IF(AR73="","",IF(AA73='Instructions &amp; Reference'!$C$12,Scores!AR73,""))</f>
        <v/>
      </c>
      <c r="O73" s="29" t="str">
        <f t="shared" si="20"/>
        <v/>
      </c>
      <c r="P73" s="29" t="str">
        <f>IF(AR73="","",IF(AA73='Instructions &amp; Reference'!$C$13,Scores!AR73,""))</f>
        <v/>
      </c>
      <c r="Q73" s="28" t="str">
        <f t="shared" si="21"/>
        <v/>
      </c>
      <c r="R73" s="28" t="str">
        <f>IF(AR73="","",IF(AA73='Instructions &amp; Reference'!$C$14,Scores!AR73,""))</f>
        <v/>
      </c>
      <c r="S73" s="29" t="str">
        <f t="shared" si="22"/>
        <v/>
      </c>
      <c r="T73" s="29" t="str">
        <f>IF(AR73="","",IF(AA73='Instructions &amp; Reference'!$C$15,Scores!AR73,""))</f>
        <v/>
      </c>
      <c r="U73" s="28" t="str">
        <f t="shared" si="23"/>
        <v/>
      </c>
      <c r="V73" s="28" t="str">
        <f>IF(AR73="","",IF(AA73='Instructions &amp; Reference'!$C$16,Scores!AR73,""))</f>
        <v/>
      </c>
      <c r="W73" s="29" t="str">
        <f t="shared" si="24"/>
        <v/>
      </c>
      <c r="X73" s="30" t="str">
        <f>IF(AR73="","",IF(AA73='Instructions &amp; Reference'!$C$17,Scores!AR73,""))</f>
        <v/>
      </c>
      <c r="Z73" s="32" t="str">
        <f>IF('Teams &amp; HM'!A114="","",'Teams &amp; HM'!A114)</f>
        <v/>
      </c>
      <c r="AA73" s="126" t="str">
        <f>IF('Teams &amp; HM'!H116="","",'Teams &amp; HM'!H116)</f>
        <v/>
      </c>
      <c r="AB73" s="126" t="str">
        <f>IF('Teams &amp; HM'!A116="","",'Teams &amp; HM'!A116)</f>
        <v/>
      </c>
      <c r="AC73" s="126" t="str">
        <f>IF('Teams &amp; HM'!B116="","",'Teams &amp; HM'!B116)</f>
        <v/>
      </c>
      <c r="AE73" s="126" t="str">
        <f>IF(Ride!V73="","",Ride!X73)</f>
        <v/>
      </c>
      <c r="AF73" s="126" t="str">
        <f>IF(Run!L73="","",Run!L73)</f>
        <v/>
      </c>
      <c r="AG73" s="126" t="str">
        <f>IF(Shoot!J73="","",Shoot!J73)</f>
        <v/>
      </c>
      <c r="AH73" s="126" t="str">
        <f>IF(Swim!K73="","",Swim!K73)</f>
        <v/>
      </c>
      <c r="AI73" s="126" t="str">
        <f t="shared" si="25"/>
        <v/>
      </c>
      <c r="AK73" s="7"/>
      <c r="AL73" s="58" t="str">
        <f t="shared" si="26"/>
        <v/>
      </c>
      <c r="AN73" s="127" t="str">
        <f>IF('Teams &amp; HM'!Q116="","",'Teams &amp; HM'!Q116)</f>
        <v/>
      </c>
      <c r="AO73" s="127" t="str">
        <f>IF('Teams &amp; HM'!R116="","",'Teams &amp; HM'!R116)</f>
        <v/>
      </c>
      <c r="AP73" s="128">
        <f>IF('Teams &amp; HM'!T116="","",'Teams &amp; HM'!T116)</f>
        <v>0</v>
      </c>
      <c r="AR73" s="59" t="str">
        <f t="shared" si="27"/>
        <v/>
      </c>
      <c r="AT73" s="131"/>
      <c r="AU73" s="120" t="str">
        <f>IF(AC73="","",SUM(Ride!Y73+Run!M73+Shoot!K73+Swim!L73+AP73+AT73))</f>
        <v/>
      </c>
    </row>
    <row r="74" spans="1:47" x14ac:dyDescent="0.25">
      <c r="A74" s="28" t="str">
        <f t="shared" si="14"/>
        <v/>
      </c>
      <c r="B74" s="28" t="str">
        <f>IF(AR74="","",IF(AA74='Instructions &amp; Reference'!$C$6,Scores!AR74,""))</f>
        <v/>
      </c>
      <c r="C74" s="29" t="str">
        <f>IF(D74="","",RANK(D74,$D$3:$D153,0))</f>
        <v/>
      </c>
      <c r="D74" s="29" t="str">
        <f>IF(AR74="","",IF(AA74='Instructions &amp; Reference'!$C$7,Scores!AR74,""))</f>
        <v/>
      </c>
      <c r="E74" s="28" t="str">
        <f t="shared" si="15"/>
        <v/>
      </c>
      <c r="F74" s="28" t="str">
        <f>IF(AR74="","",IF(AA74='Instructions &amp; Reference'!$C$8,Scores!AR74,""))</f>
        <v/>
      </c>
      <c r="G74" s="29" t="str">
        <f t="shared" si="16"/>
        <v/>
      </c>
      <c r="H74" s="29" t="str">
        <f>IF(AR74="","",IF(AA74='Instructions &amp; Reference'!$C$9,Scores!AR74,""))</f>
        <v/>
      </c>
      <c r="I74" s="28" t="str">
        <f t="shared" si="17"/>
        <v/>
      </c>
      <c r="J74" s="28" t="str">
        <f>IF(AR74="","",IF(AA74='Instructions &amp; Reference'!$C$10,Scores!AR74,""))</f>
        <v/>
      </c>
      <c r="K74" s="29" t="str">
        <f t="shared" si="18"/>
        <v/>
      </c>
      <c r="L74" s="29" t="str">
        <f>IF(AR74="","",IF(AA74='Instructions &amp; Reference'!$C$11,Scores!AR74,""))</f>
        <v/>
      </c>
      <c r="M74" s="28" t="str">
        <f t="shared" si="19"/>
        <v/>
      </c>
      <c r="N74" s="28" t="str">
        <f>IF(AR74="","",IF(AA74='Instructions &amp; Reference'!$C$12,Scores!AR74,""))</f>
        <v/>
      </c>
      <c r="O74" s="29" t="str">
        <f t="shared" si="20"/>
        <v/>
      </c>
      <c r="P74" s="29" t="str">
        <f>IF(AR74="","",IF(AA74='Instructions &amp; Reference'!$C$13,Scores!AR74,""))</f>
        <v/>
      </c>
      <c r="Q74" s="28" t="str">
        <f t="shared" si="21"/>
        <v/>
      </c>
      <c r="R74" s="28" t="str">
        <f>IF(AR74="","",IF(AA74='Instructions &amp; Reference'!$C$14,Scores!AR74,""))</f>
        <v/>
      </c>
      <c r="S74" s="29" t="str">
        <f t="shared" si="22"/>
        <v/>
      </c>
      <c r="T74" s="29" t="str">
        <f>IF(AR74="","",IF(AA74='Instructions &amp; Reference'!$C$15,Scores!AR74,""))</f>
        <v/>
      </c>
      <c r="U74" s="28" t="str">
        <f t="shared" si="23"/>
        <v/>
      </c>
      <c r="V74" s="28" t="str">
        <f>IF(AR74="","",IF(AA74='Instructions &amp; Reference'!$C$16,Scores!AR74,""))</f>
        <v/>
      </c>
      <c r="W74" s="29" t="str">
        <f t="shared" si="24"/>
        <v/>
      </c>
      <c r="X74" s="30" t="str">
        <f>IF(AR74="","",IF(AA74='Instructions &amp; Reference'!$C$17,Scores!AR74,""))</f>
        <v/>
      </c>
      <c r="Z74" s="32" t="str">
        <f>IF('Teams &amp; HM'!A114="","",'Teams &amp; HM'!A114)</f>
        <v/>
      </c>
      <c r="AA74" s="126" t="str">
        <f>IF('Teams &amp; HM'!H117="","",'Teams &amp; HM'!H117)</f>
        <v/>
      </c>
      <c r="AB74" s="126" t="str">
        <f>IF('Teams &amp; HM'!A117="","",'Teams &amp; HM'!A117)</f>
        <v/>
      </c>
      <c r="AC74" s="126" t="str">
        <f>IF('Teams &amp; HM'!B117="","",'Teams &amp; HM'!B117)</f>
        <v/>
      </c>
      <c r="AE74" s="126" t="str">
        <f>IF(Ride!V74="","",Ride!X74)</f>
        <v/>
      </c>
      <c r="AF74" s="126" t="str">
        <f>IF(Run!L74="","",Run!L74)</f>
        <v/>
      </c>
      <c r="AG74" s="126" t="str">
        <f>IF(Shoot!J74="","",Shoot!J74)</f>
        <v/>
      </c>
      <c r="AH74" s="126" t="str">
        <f>IF(Swim!K74="","",Swim!K74)</f>
        <v/>
      </c>
      <c r="AI74" s="126" t="str">
        <f t="shared" si="25"/>
        <v/>
      </c>
      <c r="AK74" s="7"/>
      <c r="AL74" s="58" t="str">
        <f t="shared" si="26"/>
        <v/>
      </c>
      <c r="AN74" s="127" t="str">
        <f>IF('Teams &amp; HM'!Q117="","",'Teams &amp; HM'!Q117)</f>
        <v/>
      </c>
      <c r="AO74" s="127" t="str">
        <f>IF('Teams &amp; HM'!R117="","",'Teams &amp; HM'!R117)</f>
        <v/>
      </c>
      <c r="AP74" s="129"/>
      <c r="AR74" s="59" t="str">
        <f t="shared" si="27"/>
        <v/>
      </c>
      <c r="AT74" s="132"/>
      <c r="AU74" s="121"/>
    </row>
    <row r="75" spans="1:47" x14ac:dyDescent="0.25">
      <c r="A75" s="28" t="str">
        <f t="shared" si="14"/>
        <v/>
      </c>
      <c r="B75" s="28" t="str">
        <f>IF(AR75="","",IF(AA75='Instructions &amp; Reference'!$C$6,Scores!AR75,""))</f>
        <v/>
      </c>
      <c r="C75" s="29" t="str">
        <f>IF(D75="","",RANK(D75,$D$3:$D154,0))</f>
        <v/>
      </c>
      <c r="D75" s="29" t="str">
        <f>IF(AR75="","",IF(AA75='Instructions &amp; Reference'!$C$7,Scores!AR75,""))</f>
        <v/>
      </c>
      <c r="E75" s="28" t="str">
        <f t="shared" si="15"/>
        <v/>
      </c>
      <c r="F75" s="28" t="str">
        <f>IF(AR75="","",IF(AA75='Instructions &amp; Reference'!$C$8,Scores!AR75,""))</f>
        <v/>
      </c>
      <c r="G75" s="29" t="str">
        <f t="shared" si="16"/>
        <v/>
      </c>
      <c r="H75" s="29" t="str">
        <f>IF(AR75="","",IF(AA75='Instructions &amp; Reference'!$C$9,Scores!AR75,""))</f>
        <v/>
      </c>
      <c r="I75" s="28" t="str">
        <f t="shared" si="17"/>
        <v/>
      </c>
      <c r="J75" s="28" t="str">
        <f>IF(AR75="","",IF(AA75='Instructions &amp; Reference'!$C$10,Scores!AR75,""))</f>
        <v/>
      </c>
      <c r="K75" s="29" t="str">
        <f t="shared" si="18"/>
        <v/>
      </c>
      <c r="L75" s="29" t="str">
        <f>IF(AR75="","",IF(AA75='Instructions &amp; Reference'!$C$11,Scores!AR75,""))</f>
        <v/>
      </c>
      <c r="M75" s="28" t="str">
        <f t="shared" si="19"/>
        <v/>
      </c>
      <c r="N75" s="28" t="str">
        <f>IF(AR75="","",IF(AA75='Instructions &amp; Reference'!$C$12,Scores!AR75,""))</f>
        <v/>
      </c>
      <c r="O75" s="29" t="str">
        <f t="shared" si="20"/>
        <v/>
      </c>
      <c r="P75" s="29" t="str">
        <f>IF(AR75="","",IF(AA75='Instructions &amp; Reference'!$C$13,Scores!AR75,""))</f>
        <v/>
      </c>
      <c r="Q75" s="28" t="str">
        <f t="shared" si="21"/>
        <v/>
      </c>
      <c r="R75" s="28" t="str">
        <f>IF(AR75="","",IF(AA75='Instructions &amp; Reference'!$C$14,Scores!AR75,""))</f>
        <v/>
      </c>
      <c r="S75" s="29" t="str">
        <f t="shared" si="22"/>
        <v/>
      </c>
      <c r="T75" s="29" t="str">
        <f>IF(AR75="","",IF(AA75='Instructions &amp; Reference'!$C$15,Scores!AR75,""))</f>
        <v/>
      </c>
      <c r="U75" s="28" t="str">
        <f t="shared" si="23"/>
        <v/>
      </c>
      <c r="V75" s="28" t="str">
        <f>IF(AR75="","",IF(AA75='Instructions &amp; Reference'!$C$16,Scores!AR75,""))</f>
        <v/>
      </c>
      <c r="W75" s="29" t="str">
        <f t="shared" si="24"/>
        <v/>
      </c>
      <c r="X75" s="30" t="str">
        <f>IF(AR75="","",IF(AA75='Instructions &amp; Reference'!$C$17,Scores!AR75,""))</f>
        <v/>
      </c>
      <c r="Z75" s="32" t="str">
        <f>IF('Teams &amp; HM'!A114="","",'Teams &amp; HM'!A114)</f>
        <v/>
      </c>
      <c r="AA75" s="126" t="str">
        <f>IF('Teams &amp; HM'!H118="","",'Teams &amp; HM'!H118)</f>
        <v/>
      </c>
      <c r="AB75" s="126" t="str">
        <f>IF('Teams &amp; HM'!A118="","",'Teams &amp; HM'!A118)</f>
        <v/>
      </c>
      <c r="AC75" s="126" t="str">
        <f>IF('Teams &amp; HM'!B118="","",'Teams &amp; HM'!B118)</f>
        <v/>
      </c>
      <c r="AE75" s="126" t="str">
        <f>IF(Ride!V75="","",Ride!X75)</f>
        <v/>
      </c>
      <c r="AF75" s="126" t="str">
        <f>IF(Run!L75="","",Run!L75)</f>
        <v/>
      </c>
      <c r="AG75" s="126" t="str">
        <f>IF(Shoot!J75="","",Shoot!J75)</f>
        <v/>
      </c>
      <c r="AH75" s="126" t="str">
        <f>IF(Swim!K75="","",Swim!K75)</f>
        <v/>
      </c>
      <c r="AI75" s="126" t="str">
        <f t="shared" si="25"/>
        <v/>
      </c>
      <c r="AK75" s="7"/>
      <c r="AL75" s="58" t="str">
        <f t="shared" si="26"/>
        <v/>
      </c>
      <c r="AN75" s="127" t="str">
        <f>IF('Teams &amp; HM'!Q118="","",'Teams &amp; HM'!Q118)</f>
        <v/>
      </c>
      <c r="AO75" s="127" t="str">
        <f>IF('Teams &amp; HM'!R118="","",'Teams &amp; HM'!R118)</f>
        <v/>
      </c>
      <c r="AP75" s="129"/>
      <c r="AR75" s="59" t="str">
        <f t="shared" si="27"/>
        <v/>
      </c>
      <c r="AT75" s="132"/>
      <c r="AU75" s="121"/>
    </row>
    <row r="76" spans="1:47" x14ac:dyDescent="0.25">
      <c r="A76" s="28" t="str">
        <f t="shared" si="14"/>
        <v/>
      </c>
      <c r="B76" s="28" t="str">
        <f>IF(AR76="","",IF(AA76='Instructions &amp; Reference'!$C$6,Scores!AR76,""))</f>
        <v/>
      </c>
      <c r="C76" s="29" t="str">
        <f>IF(D76="","",RANK(D76,$D$3:$D155,0))</f>
        <v/>
      </c>
      <c r="D76" s="29" t="str">
        <f>IF(AR76="","",IF(AA76='Instructions &amp; Reference'!$C$7,Scores!AR76,""))</f>
        <v/>
      </c>
      <c r="E76" s="28" t="str">
        <f t="shared" si="15"/>
        <v/>
      </c>
      <c r="F76" s="28" t="str">
        <f>IF(AR76="","",IF(AA76='Instructions &amp; Reference'!$C$8,Scores!AR76,""))</f>
        <v/>
      </c>
      <c r="G76" s="29" t="str">
        <f t="shared" si="16"/>
        <v/>
      </c>
      <c r="H76" s="29" t="str">
        <f>IF(AR76="","",IF(AA76='Instructions &amp; Reference'!$C$9,Scores!AR76,""))</f>
        <v/>
      </c>
      <c r="I76" s="28" t="str">
        <f t="shared" si="17"/>
        <v/>
      </c>
      <c r="J76" s="28" t="str">
        <f>IF(AR76="","",IF(AA76='Instructions &amp; Reference'!$C$10,Scores!AR76,""))</f>
        <v/>
      </c>
      <c r="K76" s="29" t="str">
        <f t="shared" si="18"/>
        <v/>
      </c>
      <c r="L76" s="29" t="str">
        <f>IF(AR76="","",IF(AA76='Instructions &amp; Reference'!$C$11,Scores!AR76,""))</f>
        <v/>
      </c>
      <c r="M76" s="28" t="str">
        <f t="shared" si="19"/>
        <v/>
      </c>
      <c r="N76" s="28" t="str">
        <f>IF(AR76="","",IF(AA76='Instructions &amp; Reference'!$C$12,Scores!AR76,""))</f>
        <v/>
      </c>
      <c r="O76" s="29" t="str">
        <f t="shared" si="20"/>
        <v/>
      </c>
      <c r="P76" s="29" t="str">
        <f>IF(AR76="","",IF(AA76='Instructions &amp; Reference'!$C$13,Scores!AR76,""))</f>
        <v/>
      </c>
      <c r="Q76" s="28" t="str">
        <f t="shared" si="21"/>
        <v/>
      </c>
      <c r="R76" s="28" t="str">
        <f>IF(AR76="","",IF(AA76='Instructions &amp; Reference'!$C$14,Scores!AR76,""))</f>
        <v/>
      </c>
      <c r="S76" s="29" t="str">
        <f t="shared" si="22"/>
        <v/>
      </c>
      <c r="T76" s="29" t="str">
        <f>IF(AR76="","",IF(AA76='Instructions &amp; Reference'!$C$15,Scores!AR76,""))</f>
        <v/>
      </c>
      <c r="U76" s="28" t="str">
        <f t="shared" si="23"/>
        <v/>
      </c>
      <c r="V76" s="28" t="str">
        <f>IF(AR76="","",IF(AA76='Instructions &amp; Reference'!$C$16,Scores!AR76,""))</f>
        <v/>
      </c>
      <c r="W76" s="29" t="str">
        <f t="shared" si="24"/>
        <v/>
      </c>
      <c r="X76" s="30" t="str">
        <f>IF(AR76="","",IF(AA76='Instructions &amp; Reference'!$C$17,Scores!AR76,""))</f>
        <v/>
      </c>
      <c r="Z76" s="32" t="str">
        <f>IF('Teams &amp; HM'!A114="","",'Teams &amp; HM'!A114)</f>
        <v/>
      </c>
      <c r="AA76" s="126" t="str">
        <f>IF('Teams &amp; HM'!H119="","",'Teams &amp; HM'!H119)</f>
        <v/>
      </c>
      <c r="AB76" s="126" t="str">
        <f>IF('Teams &amp; HM'!A119="","",'Teams &amp; HM'!A119)</f>
        <v/>
      </c>
      <c r="AC76" s="126" t="str">
        <f>IF('Teams &amp; HM'!B119="","",'Teams &amp; HM'!B119)</f>
        <v/>
      </c>
      <c r="AE76" s="126" t="str">
        <f>IF(Ride!V76="","",Ride!X76)</f>
        <v/>
      </c>
      <c r="AF76" s="126" t="str">
        <f>IF(Run!L76="","",Run!L76)</f>
        <v/>
      </c>
      <c r="AG76" s="126" t="str">
        <f>IF(Shoot!J76="","",Shoot!J76)</f>
        <v/>
      </c>
      <c r="AH76" s="126" t="str">
        <f>IF(Swim!K76="","",Swim!K76)</f>
        <v/>
      </c>
      <c r="AI76" s="126" t="str">
        <f t="shared" si="25"/>
        <v/>
      </c>
      <c r="AK76" s="7"/>
      <c r="AL76" s="58" t="str">
        <f t="shared" si="26"/>
        <v/>
      </c>
      <c r="AN76" s="127" t="str">
        <f>IF('Teams &amp; HM'!Q119="","",'Teams &amp; HM'!Q119)</f>
        <v/>
      </c>
      <c r="AO76" s="127" t="str">
        <f>IF('Teams &amp; HM'!R119="","",'Teams &amp; HM'!R119)</f>
        <v/>
      </c>
      <c r="AP76" s="129"/>
      <c r="AR76" s="59" t="str">
        <f t="shared" si="27"/>
        <v/>
      </c>
      <c r="AT76" s="132"/>
      <c r="AU76" s="121"/>
    </row>
    <row r="77" spans="1:47" x14ac:dyDescent="0.25">
      <c r="A77" s="28" t="str">
        <f t="shared" si="14"/>
        <v/>
      </c>
      <c r="B77" s="28" t="str">
        <f>IF(AR77="","",IF(AA77='Instructions &amp; Reference'!$C$6,Scores!AR77,""))</f>
        <v/>
      </c>
      <c r="C77" s="29" t="str">
        <f>IF(D77="","",RANK(D77,$D$3:$D156,0))</f>
        <v/>
      </c>
      <c r="D77" s="29" t="str">
        <f>IF(AR77="","",IF(AA77='Instructions &amp; Reference'!$C$7,Scores!AR77,""))</f>
        <v/>
      </c>
      <c r="E77" s="28" t="str">
        <f t="shared" si="15"/>
        <v/>
      </c>
      <c r="F77" s="28" t="str">
        <f>IF(AR77="","",IF(AA77='Instructions &amp; Reference'!$C$8,Scores!AR77,""))</f>
        <v/>
      </c>
      <c r="G77" s="29" t="str">
        <f t="shared" si="16"/>
        <v/>
      </c>
      <c r="H77" s="29" t="str">
        <f>IF(AR77="","",IF(AA77='Instructions &amp; Reference'!$C$9,Scores!AR77,""))</f>
        <v/>
      </c>
      <c r="I77" s="28" t="str">
        <f t="shared" si="17"/>
        <v/>
      </c>
      <c r="J77" s="28" t="str">
        <f>IF(AR77="","",IF(AA77='Instructions &amp; Reference'!$C$10,Scores!AR77,""))</f>
        <v/>
      </c>
      <c r="K77" s="29" t="str">
        <f t="shared" si="18"/>
        <v/>
      </c>
      <c r="L77" s="29" t="str">
        <f>IF(AR77="","",IF(AA77='Instructions &amp; Reference'!$C$11,Scores!AR77,""))</f>
        <v/>
      </c>
      <c r="M77" s="28" t="str">
        <f t="shared" si="19"/>
        <v/>
      </c>
      <c r="N77" s="28" t="str">
        <f>IF(AR77="","",IF(AA77='Instructions &amp; Reference'!$C$12,Scores!AR77,""))</f>
        <v/>
      </c>
      <c r="O77" s="29" t="str">
        <f t="shared" si="20"/>
        <v/>
      </c>
      <c r="P77" s="29" t="str">
        <f>IF(AR77="","",IF(AA77='Instructions &amp; Reference'!$C$13,Scores!AR77,""))</f>
        <v/>
      </c>
      <c r="Q77" s="28" t="str">
        <f t="shared" si="21"/>
        <v/>
      </c>
      <c r="R77" s="28" t="str">
        <f>IF(AR77="","",IF(AA77='Instructions &amp; Reference'!$C$14,Scores!AR77,""))</f>
        <v/>
      </c>
      <c r="S77" s="29" t="str">
        <f t="shared" si="22"/>
        <v/>
      </c>
      <c r="T77" s="29" t="str">
        <f>IF(AR77="","",IF(AA77='Instructions &amp; Reference'!$C$15,Scores!AR77,""))</f>
        <v/>
      </c>
      <c r="U77" s="28" t="str">
        <f t="shared" si="23"/>
        <v/>
      </c>
      <c r="V77" s="28" t="str">
        <f>IF(AR77="","",IF(AA77='Instructions &amp; Reference'!$C$16,Scores!AR77,""))</f>
        <v/>
      </c>
      <c r="W77" s="29" t="str">
        <f t="shared" si="24"/>
        <v/>
      </c>
      <c r="X77" s="30" t="str">
        <f>IF(AR77="","",IF(AA77='Instructions &amp; Reference'!$C$17,Scores!AR77,""))</f>
        <v/>
      </c>
      <c r="Z77" s="32" t="str">
        <f>IF('Teams &amp; HM'!A114="","",'Teams &amp; HM'!A114)</f>
        <v/>
      </c>
      <c r="AA77" s="126" t="str">
        <f>IF('Teams &amp; HM'!H120="","",'Teams &amp; HM'!H120)</f>
        <v/>
      </c>
      <c r="AB77" s="126" t="str">
        <f>IF('Teams &amp; HM'!A120="","",'Teams &amp; HM'!A120)</f>
        <v/>
      </c>
      <c r="AC77" s="126" t="str">
        <f>IF('Teams &amp; HM'!B120="","",'Teams &amp; HM'!B120)</f>
        <v/>
      </c>
      <c r="AE77" s="126" t="str">
        <f>IF(Ride!V77="","",Ride!X77)</f>
        <v/>
      </c>
      <c r="AF77" s="126" t="str">
        <f>IF(Run!L77="","",Run!L77)</f>
        <v/>
      </c>
      <c r="AG77" s="126" t="str">
        <f>IF(Shoot!J77="","",Shoot!J77)</f>
        <v/>
      </c>
      <c r="AH77" s="126" t="str">
        <f>IF(Swim!K77="","",Swim!K77)</f>
        <v/>
      </c>
      <c r="AI77" s="126" t="str">
        <f t="shared" si="25"/>
        <v/>
      </c>
      <c r="AK77" s="7"/>
      <c r="AL77" s="58" t="str">
        <f t="shared" si="26"/>
        <v/>
      </c>
      <c r="AN77" s="127" t="str">
        <f>IF('Teams &amp; HM'!Q120="","",'Teams &amp; HM'!Q120)</f>
        <v/>
      </c>
      <c r="AO77" s="127" t="str">
        <f>IF('Teams &amp; HM'!R120="","",'Teams &amp; HM'!R120)</f>
        <v/>
      </c>
      <c r="AP77" s="130"/>
      <c r="AR77" s="59" t="str">
        <f t="shared" si="27"/>
        <v/>
      </c>
      <c r="AT77" s="133"/>
      <c r="AU77" s="122"/>
    </row>
    <row r="78" spans="1:47" x14ac:dyDescent="0.25">
      <c r="A78" s="28" t="str">
        <f t="shared" si="14"/>
        <v/>
      </c>
      <c r="B78" s="28" t="str">
        <f>IF(AR78="","",IF(AA78='Instructions &amp; Reference'!$C$6,Scores!AR78,""))</f>
        <v/>
      </c>
      <c r="C78" s="29" t="str">
        <f>IF(D78="","",RANK(D78,$D$3:$D157,0))</f>
        <v/>
      </c>
      <c r="D78" s="29" t="str">
        <f>IF(AR78="","",IF(AA78='Instructions &amp; Reference'!$C$7,Scores!AR78,""))</f>
        <v/>
      </c>
      <c r="E78" s="28" t="str">
        <f t="shared" si="15"/>
        <v/>
      </c>
      <c r="F78" s="28" t="str">
        <f>IF(AR78="","",IF(AA78='Instructions &amp; Reference'!$C$8,Scores!AR78,""))</f>
        <v/>
      </c>
      <c r="G78" s="29" t="str">
        <f t="shared" si="16"/>
        <v/>
      </c>
      <c r="H78" s="29" t="str">
        <f>IF(AR78="","",IF(AA78='Instructions &amp; Reference'!$C$9,Scores!AR78,""))</f>
        <v/>
      </c>
      <c r="I78" s="28" t="str">
        <f t="shared" si="17"/>
        <v/>
      </c>
      <c r="J78" s="28" t="str">
        <f>IF(AR78="","",IF(AA78='Instructions &amp; Reference'!$C$10,Scores!AR78,""))</f>
        <v/>
      </c>
      <c r="K78" s="29" t="str">
        <f t="shared" si="18"/>
        <v/>
      </c>
      <c r="L78" s="29" t="str">
        <f>IF(AR78="","",IF(AA78='Instructions &amp; Reference'!$C$11,Scores!AR78,""))</f>
        <v/>
      </c>
      <c r="M78" s="28" t="str">
        <f t="shared" si="19"/>
        <v/>
      </c>
      <c r="N78" s="28" t="str">
        <f>IF(AR78="","",IF(AA78='Instructions &amp; Reference'!$C$12,Scores!AR78,""))</f>
        <v/>
      </c>
      <c r="O78" s="29" t="str">
        <f t="shared" si="20"/>
        <v/>
      </c>
      <c r="P78" s="29" t="str">
        <f>IF(AR78="","",IF(AA78='Instructions &amp; Reference'!$C$13,Scores!AR78,""))</f>
        <v/>
      </c>
      <c r="Q78" s="28" t="str">
        <f t="shared" si="21"/>
        <v/>
      </c>
      <c r="R78" s="28" t="str">
        <f>IF(AR78="","",IF(AA78='Instructions &amp; Reference'!$C$14,Scores!AR78,""))</f>
        <v/>
      </c>
      <c r="S78" s="29" t="str">
        <f t="shared" si="22"/>
        <v/>
      </c>
      <c r="T78" s="29" t="str">
        <f>IF(AR78="","",IF(AA78='Instructions &amp; Reference'!$C$15,Scores!AR78,""))</f>
        <v/>
      </c>
      <c r="U78" s="28" t="str">
        <f t="shared" si="23"/>
        <v/>
      </c>
      <c r="V78" s="28" t="str">
        <f>IF(AR78="","",IF(AA78='Instructions &amp; Reference'!$C$16,Scores!AR78,""))</f>
        <v/>
      </c>
      <c r="W78" s="29" t="str">
        <f t="shared" si="24"/>
        <v/>
      </c>
      <c r="X78" s="30" t="str">
        <f>IF(AR78="","",IF(AA78='Instructions &amp; Reference'!$C$17,Scores!AR78,""))</f>
        <v/>
      </c>
      <c r="Z78" s="32" t="str">
        <f>IF('Teams &amp; HM'!A122="","",'Teams &amp; HM'!A122)</f>
        <v/>
      </c>
      <c r="AA78" s="126" t="str">
        <f>IF('Teams &amp; HM'!H124="","",'Teams &amp; HM'!H124)</f>
        <v/>
      </c>
      <c r="AB78" s="126" t="str">
        <f>IF('Teams &amp; HM'!A124="","",'Teams &amp; HM'!A124)</f>
        <v/>
      </c>
      <c r="AC78" s="126" t="str">
        <f>IF('Teams &amp; HM'!B124="","",'Teams &amp; HM'!B124)</f>
        <v/>
      </c>
      <c r="AE78" s="126" t="str">
        <f>IF(Ride!V78="","",Ride!X78)</f>
        <v/>
      </c>
      <c r="AF78" s="126" t="str">
        <f>IF(Run!L78="","",Run!L78)</f>
        <v/>
      </c>
      <c r="AG78" s="126" t="str">
        <f>IF(Shoot!J78="","",Shoot!J78)</f>
        <v/>
      </c>
      <c r="AH78" s="126" t="str">
        <f>IF(Swim!K78="","",Swim!K78)</f>
        <v/>
      </c>
      <c r="AI78" s="126" t="str">
        <f t="shared" si="25"/>
        <v/>
      </c>
      <c r="AK78" s="7"/>
      <c r="AL78" s="58" t="str">
        <f t="shared" si="26"/>
        <v/>
      </c>
      <c r="AN78" s="127" t="str">
        <f>IF('Teams &amp; HM'!Q124="","",'Teams &amp; HM'!Q124)</f>
        <v/>
      </c>
      <c r="AO78" s="127" t="str">
        <f>IF('Teams &amp; HM'!R124="","",'Teams &amp; HM'!R124)</f>
        <v/>
      </c>
      <c r="AP78" s="128">
        <f>IF('Teams &amp; HM'!T124="","",'Teams &amp; HM'!T124)</f>
        <v>0</v>
      </c>
      <c r="AR78" s="59" t="str">
        <f t="shared" si="27"/>
        <v/>
      </c>
      <c r="AT78" s="131"/>
      <c r="AU78" s="120" t="str">
        <f>IF(AC78="","",SUM(Ride!Y78+Run!M78+Shoot!K78+Swim!L78+AP78+AT78))</f>
        <v/>
      </c>
    </row>
    <row r="79" spans="1:47" x14ac:dyDescent="0.25">
      <c r="A79" s="28" t="str">
        <f t="shared" si="14"/>
        <v/>
      </c>
      <c r="B79" s="28" t="str">
        <f>IF(AR79="","",IF(AA79='Instructions &amp; Reference'!$C$6,Scores!AR79,""))</f>
        <v/>
      </c>
      <c r="C79" s="29" t="str">
        <f>IF(D79="","",RANK(D79,$D$3:$D158,0))</f>
        <v/>
      </c>
      <c r="D79" s="29" t="str">
        <f>IF(AR79="","",IF(AA79='Instructions &amp; Reference'!$C$7,Scores!AR79,""))</f>
        <v/>
      </c>
      <c r="E79" s="28" t="str">
        <f t="shared" si="15"/>
        <v/>
      </c>
      <c r="F79" s="28" t="str">
        <f>IF(AR79="","",IF(AA79='Instructions &amp; Reference'!$C$8,Scores!AR79,""))</f>
        <v/>
      </c>
      <c r="G79" s="29" t="str">
        <f t="shared" si="16"/>
        <v/>
      </c>
      <c r="H79" s="29" t="str">
        <f>IF(AR79="","",IF(AA79='Instructions &amp; Reference'!$C$9,Scores!AR79,""))</f>
        <v/>
      </c>
      <c r="I79" s="28" t="str">
        <f t="shared" si="17"/>
        <v/>
      </c>
      <c r="J79" s="28" t="str">
        <f>IF(AR79="","",IF(AA79='Instructions &amp; Reference'!$C$10,Scores!AR79,""))</f>
        <v/>
      </c>
      <c r="K79" s="29" t="str">
        <f t="shared" si="18"/>
        <v/>
      </c>
      <c r="L79" s="29" t="str">
        <f>IF(AR79="","",IF(AA79='Instructions &amp; Reference'!$C$11,Scores!AR79,""))</f>
        <v/>
      </c>
      <c r="M79" s="28" t="str">
        <f t="shared" si="19"/>
        <v/>
      </c>
      <c r="N79" s="28" t="str">
        <f>IF(AR79="","",IF(AA79='Instructions &amp; Reference'!$C$12,Scores!AR79,""))</f>
        <v/>
      </c>
      <c r="O79" s="29" t="str">
        <f t="shared" si="20"/>
        <v/>
      </c>
      <c r="P79" s="29" t="str">
        <f>IF(AR79="","",IF(AA79='Instructions &amp; Reference'!$C$13,Scores!AR79,""))</f>
        <v/>
      </c>
      <c r="Q79" s="28" t="str">
        <f t="shared" si="21"/>
        <v/>
      </c>
      <c r="R79" s="28" t="str">
        <f>IF(AR79="","",IF(AA79='Instructions &amp; Reference'!$C$14,Scores!AR79,""))</f>
        <v/>
      </c>
      <c r="S79" s="29" t="str">
        <f t="shared" si="22"/>
        <v/>
      </c>
      <c r="T79" s="29" t="str">
        <f>IF(AR79="","",IF(AA79='Instructions &amp; Reference'!$C$15,Scores!AR79,""))</f>
        <v/>
      </c>
      <c r="U79" s="28" t="str">
        <f t="shared" si="23"/>
        <v/>
      </c>
      <c r="V79" s="28" t="str">
        <f>IF(AR79="","",IF(AA79='Instructions &amp; Reference'!$C$16,Scores!AR79,""))</f>
        <v/>
      </c>
      <c r="W79" s="29" t="str">
        <f t="shared" si="24"/>
        <v/>
      </c>
      <c r="X79" s="30" t="str">
        <f>IF(AR79="","",IF(AA79='Instructions &amp; Reference'!$C$17,Scores!AR79,""))</f>
        <v/>
      </c>
      <c r="Z79" s="32" t="str">
        <f>IF('Teams &amp; HM'!A122="","",'Teams &amp; HM'!A122)</f>
        <v/>
      </c>
      <c r="AA79" s="126" t="str">
        <f>IF('Teams &amp; HM'!H125="","",'Teams &amp; HM'!H125)</f>
        <v/>
      </c>
      <c r="AB79" s="126" t="str">
        <f>IF('Teams &amp; HM'!A125="","",'Teams &amp; HM'!A125)</f>
        <v/>
      </c>
      <c r="AC79" s="126" t="str">
        <f>IF('Teams &amp; HM'!B125="","",'Teams &amp; HM'!B125)</f>
        <v/>
      </c>
      <c r="AE79" s="126" t="str">
        <f>IF(Ride!V79="","",Ride!X79)</f>
        <v/>
      </c>
      <c r="AF79" s="126" t="str">
        <f>IF(Run!L79="","",Run!L79)</f>
        <v/>
      </c>
      <c r="AG79" s="126" t="str">
        <f>IF(Shoot!J79="","",Shoot!J79)</f>
        <v/>
      </c>
      <c r="AH79" s="126" t="str">
        <f>IF(Swim!K79="","",Swim!K79)</f>
        <v/>
      </c>
      <c r="AI79" s="126" t="str">
        <f t="shared" si="25"/>
        <v/>
      </c>
      <c r="AK79" s="7"/>
      <c r="AL79" s="58" t="str">
        <f t="shared" si="26"/>
        <v/>
      </c>
      <c r="AN79" s="127" t="str">
        <f>IF('Teams &amp; HM'!Q125="","",'Teams &amp; HM'!Q125)</f>
        <v/>
      </c>
      <c r="AO79" s="127" t="str">
        <f>IF('Teams &amp; HM'!R125="","",'Teams &amp; HM'!R125)</f>
        <v/>
      </c>
      <c r="AP79" s="129"/>
      <c r="AR79" s="59" t="str">
        <f t="shared" si="27"/>
        <v/>
      </c>
      <c r="AT79" s="132"/>
      <c r="AU79" s="121"/>
    </row>
    <row r="80" spans="1:47" x14ac:dyDescent="0.25">
      <c r="A80" s="28" t="str">
        <f t="shared" si="14"/>
        <v/>
      </c>
      <c r="B80" s="28" t="str">
        <f>IF(AR80="","",IF(AA80='Instructions &amp; Reference'!$C$6,Scores!AR80,""))</f>
        <v/>
      </c>
      <c r="C80" s="29" t="str">
        <f>IF(D80="","",RANK(D80,$D$3:$D159,0))</f>
        <v/>
      </c>
      <c r="D80" s="29" t="str">
        <f>IF(AR80="","",IF(AA80='Instructions &amp; Reference'!$C$7,Scores!AR80,""))</f>
        <v/>
      </c>
      <c r="E80" s="28" t="str">
        <f t="shared" si="15"/>
        <v/>
      </c>
      <c r="F80" s="28" t="str">
        <f>IF(AR80="","",IF(AA80='Instructions &amp; Reference'!$C$8,Scores!AR80,""))</f>
        <v/>
      </c>
      <c r="G80" s="29" t="str">
        <f t="shared" si="16"/>
        <v/>
      </c>
      <c r="H80" s="29" t="str">
        <f>IF(AR80="","",IF(AA80='Instructions &amp; Reference'!$C$9,Scores!AR80,""))</f>
        <v/>
      </c>
      <c r="I80" s="28" t="str">
        <f t="shared" si="17"/>
        <v/>
      </c>
      <c r="J80" s="28" t="str">
        <f>IF(AR80="","",IF(AA80='Instructions &amp; Reference'!$C$10,Scores!AR80,""))</f>
        <v/>
      </c>
      <c r="K80" s="29" t="str">
        <f t="shared" si="18"/>
        <v/>
      </c>
      <c r="L80" s="29" t="str">
        <f>IF(AR80="","",IF(AA80='Instructions &amp; Reference'!$C$11,Scores!AR80,""))</f>
        <v/>
      </c>
      <c r="M80" s="28" t="str">
        <f t="shared" si="19"/>
        <v/>
      </c>
      <c r="N80" s="28" t="str">
        <f>IF(AR80="","",IF(AA80='Instructions &amp; Reference'!$C$12,Scores!AR80,""))</f>
        <v/>
      </c>
      <c r="O80" s="29" t="str">
        <f t="shared" si="20"/>
        <v/>
      </c>
      <c r="P80" s="29" t="str">
        <f>IF(AR80="","",IF(AA80='Instructions &amp; Reference'!$C$13,Scores!AR80,""))</f>
        <v/>
      </c>
      <c r="Q80" s="28" t="str">
        <f t="shared" si="21"/>
        <v/>
      </c>
      <c r="R80" s="28" t="str">
        <f>IF(AR80="","",IF(AA80='Instructions &amp; Reference'!$C$14,Scores!AR80,""))</f>
        <v/>
      </c>
      <c r="S80" s="29" t="str">
        <f t="shared" si="22"/>
        <v/>
      </c>
      <c r="T80" s="29" t="str">
        <f>IF(AR80="","",IF(AA80='Instructions &amp; Reference'!$C$15,Scores!AR80,""))</f>
        <v/>
      </c>
      <c r="U80" s="28" t="str">
        <f t="shared" si="23"/>
        <v/>
      </c>
      <c r="V80" s="28" t="str">
        <f>IF(AR80="","",IF(AA80='Instructions &amp; Reference'!$C$16,Scores!AR80,""))</f>
        <v/>
      </c>
      <c r="W80" s="29" t="str">
        <f t="shared" si="24"/>
        <v/>
      </c>
      <c r="X80" s="30" t="str">
        <f>IF(AR80="","",IF(AA80='Instructions &amp; Reference'!$C$17,Scores!AR80,""))</f>
        <v/>
      </c>
      <c r="Z80" s="32" t="str">
        <f>IF('Teams &amp; HM'!A122="","",'Teams &amp; HM'!A122)</f>
        <v/>
      </c>
      <c r="AA80" s="126" t="str">
        <f>IF('Teams &amp; HM'!H126="","",'Teams &amp; HM'!H126)</f>
        <v/>
      </c>
      <c r="AB80" s="126" t="str">
        <f>IF('Teams &amp; HM'!A126="","",'Teams &amp; HM'!A126)</f>
        <v/>
      </c>
      <c r="AC80" s="126" t="str">
        <f>IF('Teams &amp; HM'!B126="","",'Teams &amp; HM'!B126)</f>
        <v/>
      </c>
      <c r="AE80" s="126" t="str">
        <f>IF(Ride!V80="","",Ride!X80)</f>
        <v/>
      </c>
      <c r="AF80" s="126" t="str">
        <f>IF(Run!L80="","",Run!L80)</f>
        <v/>
      </c>
      <c r="AG80" s="126" t="str">
        <f>IF(Shoot!J80="","",Shoot!J80)</f>
        <v/>
      </c>
      <c r="AH80" s="126" t="str">
        <f>IF(Swim!K80="","",Swim!K80)</f>
        <v/>
      </c>
      <c r="AI80" s="126" t="str">
        <f t="shared" si="25"/>
        <v/>
      </c>
      <c r="AK80" s="7"/>
      <c r="AL80" s="58" t="str">
        <f t="shared" si="26"/>
        <v/>
      </c>
      <c r="AN80" s="127" t="str">
        <f>IF('Teams &amp; HM'!Q126="","",'Teams &amp; HM'!Q126)</f>
        <v/>
      </c>
      <c r="AO80" s="127" t="str">
        <f>IF('Teams &amp; HM'!R126="","",'Teams &amp; HM'!R126)</f>
        <v/>
      </c>
      <c r="AP80" s="129"/>
      <c r="AR80" s="59" t="str">
        <f t="shared" si="27"/>
        <v/>
      </c>
      <c r="AT80" s="132"/>
      <c r="AU80" s="121"/>
    </row>
    <row r="81" spans="1:47" x14ac:dyDescent="0.25">
      <c r="A81" s="28" t="str">
        <f t="shared" si="14"/>
        <v/>
      </c>
      <c r="B81" s="28" t="str">
        <f>IF(AR81="","",IF(AA81='Instructions &amp; Reference'!$C$6,Scores!AR81,""))</f>
        <v/>
      </c>
      <c r="C81" s="29" t="str">
        <f>IF(D81="","",RANK(D81,$D$3:$D160,0))</f>
        <v/>
      </c>
      <c r="D81" s="29" t="str">
        <f>IF(AR81="","",IF(AA81='Instructions &amp; Reference'!$C$7,Scores!AR81,""))</f>
        <v/>
      </c>
      <c r="E81" s="28" t="str">
        <f t="shared" si="15"/>
        <v/>
      </c>
      <c r="F81" s="28" t="str">
        <f>IF(AR81="","",IF(AA81='Instructions &amp; Reference'!$C$8,Scores!AR81,""))</f>
        <v/>
      </c>
      <c r="G81" s="29" t="str">
        <f t="shared" si="16"/>
        <v/>
      </c>
      <c r="H81" s="29" t="str">
        <f>IF(AR81="","",IF(AA81='Instructions &amp; Reference'!$C$9,Scores!AR81,""))</f>
        <v/>
      </c>
      <c r="I81" s="28" t="str">
        <f t="shared" si="17"/>
        <v/>
      </c>
      <c r="J81" s="28" t="str">
        <f>IF(AR81="","",IF(AA81='Instructions &amp; Reference'!$C$10,Scores!AR81,""))</f>
        <v/>
      </c>
      <c r="K81" s="29" t="str">
        <f t="shared" si="18"/>
        <v/>
      </c>
      <c r="L81" s="29" t="str">
        <f>IF(AR81="","",IF(AA81='Instructions &amp; Reference'!$C$11,Scores!AR81,""))</f>
        <v/>
      </c>
      <c r="M81" s="28" t="str">
        <f t="shared" si="19"/>
        <v/>
      </c>
      <c r="N81" s="28" t="str">
        <f>IF(AR81="","",IF(AA81='Instructions &amp; Reference'!$C$12,Scores!AR81,""))</f>
        <v/>
      </c>
      <c r="O81" s="29" t="str">
        <f t="shared" si="20"/>
        <v/>
      </c>
      <c r="P81" s="29" t="str">
        <f>IF(AR81="","",IF(AA81='Instructions &amp; Reference'!$C$13,Scores!AR81,""))</f>
        <v/>
      </c>
      <c r="Q81" s="28" t="str">
        <f t="shared" si="21"/>
        <v/>
      </c>
      <c r="R81" s="28" t="str">
        <f>IF(AR81="","",IF(AA81='Instructions &amp; Reference'!$C$14,Scores!AR81,""))</f>
        <v/>
      </c>
      <c r="S81" s="29" t="str">
        <f t="shared" si="22"/>
        <v/>
      </c>
      <c r="T81" s="29" t="str">
        <f>IF(AR81="","",IF(AA81='Instructions &amp; Reference'!$C$15,Scores!AR81,""))</f>
        <v/>
      </c>
      <c r="U81" s="28" t="str">
        <f t="shared" si="23"/>
        <v/>
      </c>
      <c r="V81" s="28" t="str">
        <f>IF(AR81="","",IF(AA81='Instructions &amp; Reference'!$C$16,Scores!AR81,""))</f>
        <v/>
      </c>
      <c r="W81" s="29" t="str">
        <f t="shared" si="24"/>
        <v/>
      </c>
      <c r="X81" s="30" t="str">
        <f>IF(AR81="","",IF(AA81='Instructions &amp; Reference'!$C$17,Scores!AR81,""))</f>
        <v/>
      </c>
      <c r="Z81" s="32" t="str">
        <f>IF('Teams &amp; HM'!A122="","",'Teams &amp; HM'!A122)</f>
        <v/>
      </c>
      <c r="AA81" s="126" t="str">
        <f>IF('Teams &amp; HM'!H127="","",'Teams &amp; HM'!H127)</f>
        <v/>
      </c>
      <c r="AB81" s="126" t="str">
        <f>IF('Teams &amp; HM'!A127="","",'Teams &amp; HM'!A127)</f>
        <v/>
      </c>
      <c r="AC81" s="126" t="str">
        <f>IF('Teams &amp; HM'!B127="","",'Teams &amp; HM'!B127)</f>
        <v/>
      </c>
      <c r="AE81" s="126" t="str">
        <f>IF(Ride!V81="","",Ride!X81)</f>
        <v/>
      </c>
      <c r="AF81" s="126" t="str">
        <f>IF(Run!L81="","",Run!L81)</f>
        <v/>
      </c>
      <c r="AG81" s="126" t="str">
        <f>IF(Shoot!J81="","",Shoot!J81)</f>
        <v/>
      </c>
      <c r="AH81" s="126" t="str">
        <f>IF(Swim!K81="","",Swim!K81)</f>
        <v/>
      </c>
      <c r="AI81" s="126" t="str">
        <f t="shared" si="25"/>
        <v/>
      </c>
      <c r="AK81" s="7"/>
      <c r="AL81" s="58" t="str">
        <f t="shared" si="26"/>
        <v/>
      </c>
      <c r="AN81" s="127" t="str">
        <f>IF('Teams &amp; HM'!Q127="","",'Teams &amp; HM'!Q127)</f>
        <v/>
      </c>
      <c r="AO81" s="127" t="str">
        <f>IF('Teams &amp; HM'!R127="","",'Teams &amp; HM'!R127)</f>
        <v/>
      </c>
      <c r="AP81" s="129"/>
      <c r="AR81" s="59" t="str">
        <f t="shared" si="27"/>
        <v/>
      </c>
      <c r="AT81" s="132"/>
      <c r="AU81" s="121"/>
    </row>
    <row r="82" spans="1:47" x14ac:dyDescent="0.25">
      <c r="A82" s="28" t="str">
        <f t="shared" si="14"/>
        <v/>
      </c>
      <c r="B82" s="28" t="str">
        <f>IF(AR82="","",IF(AA82='Instructions &amp; Reference'!$C$6,Scores!AR82,""))</f>
        <v/>
      </c>
      <c r="C82" s="29" t="str">
        <f>IF(D82="","",RANK(D82,$D$3:$D161,0))</f>
        <v/>
      </c>
      <c r="D82" s="29" t="str">
        <f>IF(AR82="","",IF(AA82='Instructions &amp; Reference'!$C$7,Scores!AR82,""))</f>
        <v/>
      </c>
      <c r="E82" s="28" t="str">
        <f t="shared" si="15"/>
        <v/>
      </c>
      <c r="F82" s="28" t="str">
        <f>IF(AR82="","",IF(AA82='Instructions &amp; Reference'!$C$8,Scores!AR82,""))</f>
        <v/>
      </c>
      <c r="G82" s="29" t="str">
        <f t="shared" si="16"/>
        <v/>
      </c>
      <c r="H82" s="29" t="str">
        <f>IF(AR82="","",IF(AA82='Instructions &amp; Reference'!$C$9,Scores!AR82,""))</f>
        <v/>
      </c>
      <c r="I82" s="28" t="str">
        <f t="shared" si="17"/>
        <v/>
      </c>
      <c r="J82" s="28" t="str">
        <f>IF(AR82="","",IF(AA82='Instructions &amp; Reference'!$C$10,Scores!AR82,""))</f>
        <v/>
      </c>
      <c r="K82" s="29" t="str">
        <f t="shared" si="18"/>
        <v/>
      </c>
      <c r="L82" s="29" t="str">
        <f>IF(AR82="","",IF(AA82='Instructions &amp; Reference'!$C$11,Scores!AR82,""))</f>
        <v/>
      </c>
      <c r="M82" s="28" t="str">
        <f t="shared" si="19"/>
        <v/>
      </c>
      <c r="N82" s="28" t="str">
        <f>IF(AR82="","",IF(AA82='Instructions &amp; Reference'!$C$12,Scores!AR82,""))</f>
        <v/>
      </c>
      <c r="O82" s="29" t="str">
        <f t="shared" si="20"/>
        <v/>
      </c>
      <c r="P82" s="29" t="str">
        <f>IF(AR82="","",IF(AA82='Instructions &amp; Reference'!$C$13,Scores!AR82,""))</f>
        <v/>
      </c>
      <c r="Q82" s="28" t="str">
        <f t="shared" si="21"/>
        <v/>
      </c>
      <c r="R82" s="28" t="str">
        <f>IF(AR82="","",IF(AA82='Instructions &amp; Reference'!$C$14,Scores!AR82,""))</f>
        <v/>
      </c>
      <c r="S82" s="29" t="str">
        <f t="shared" si="22"/>
        <v/>
      </c>
      <c r="T82" s="29" t="str">
        <f>IF(AR82="","",IF(AA82='Instructions &amp; Reference'!$C$15,Scores!AR82,""))</f>
        <v/>
      </c>
      <c r="U82" s="28" t="str">
        <f t="shared" si="23"/>
        <v/>
      </c>
      <c r="V82" s="28" t="str">
        <f>IF(AR82="","",IF(AA82='Instructions &amp; Reference'!$C$16,Scores!AR82,""))</f>
        <v/>
      </c>
      <c r="W82" s="29" t="str">
        <f t="shared" si="24"/>
        <v/>
      </c>
      <c r="X82" s="30" t="str">
        <f>IF(AR82="","",IF(AA82='Instructions &amp; Reference'!$C$17,Scores!AR82,""))</f>
        <v/>
      </c>
      <c r="Z82" s="32" t="str">
        <f>IF('Teams &amp; HM'!A122="","",'Teams &amp; HM'!A122)</f>
        <v/>
      </c>
      <c r="AA82" s="126" t="str">
        <f>IF('Teams &amp; HM'!H128="","",'Teams &amp; HM'!H128)</f>
        <v/>
      </c>
      <c r="AB82" s="126" t="str">
        <f>IF('Teams &amp; HM'!A128="","",'Teams &amp; HM'!A128)</f>
        <v/>
      </c>
      <c r="AC82" s="126" t="str">
        <f>IF('Teams &amp; HM'!B128="","",'Teams &amp; HM'!B128)</f>
        <v/>
      </c>
      <c r="AE82" s="126" t="str">
        <f>IF(Ride!V82="","",Ride!X82)</f>
        <v/>
      </c>
      <c r="AF82" s="126" t="str">
        <f>IF(Run!L82="","",Run!L82)</f>
        <v/>
      </c>
      <c r="AG82" s="126" t="str">
        <f>IF(Shoot!J82="","",Shoot!J82)</f>
        <v/>
      </c>
      <c r="AH82" s="126" t="str">
        <f>IF(Swim!K82="","",Swim!K82)</f>
        <v/>
      </c>
      <c r="AI82" s="126" t="str">
        <f t="shared" si="25"/>
        <v/>
      </c>
      <c r="AK82" s="7"/>
      <c r="AL82" s="58" t="str">
        <f t="shared" si="26"/>
        <v/>
      </c>
      <c r="AN82" s="127" t="str">
        <f>IF('Teams &amp; HM'!Q128="","",'Teams &amp; HM'!Q128)</f>
        <v/>
      </c>
      <c r="AO82" s="127" t="str">
        <f>IF('Teams &amp; HM'!R128="","",'Teams &amp; HM'!R128)</f>
        <v/>
      </c>
      <c r="AP82" s="130"/>
      <c r="AR82" s="59" t="str">
        <f t="shared" si="27"/>
        <v/>
      </c>
      <c r="AT82" s="133"/>
      <c r="AU82" s="122"/>
    </row>
    <row r="83" spans="1:47" x14ac:dyDescent="0.25">
      <c r="A83" s="28" t="str">
        <f t="shared" ref="A83:A102" si="28">IF(B83="","",RANK(B83,$B$3:$B$82))</f>
        <v/>
      </c>
      <c r="B83" s="28" t="str">
        <f>IF(AR83="","",IF(AA83='Instructions &amp; Reference'!$C$6,Scores!AR83,""))</f>
        <v/>
      </c>
      <c r="C83" s="29" t="str">
        <f>IF(D83="","",RANK(D83,$D$3:$D162,0))</f>
        <v/>
      </c>
      <c r="D83" s="29" t="str">
        <f>IF(AR83="","",IF(AA83='Instructions &amp; Reference'!$C$7,Scores!AR83,""))</f>
        <v/>
      </c>
      <c r="E83" s="28" t="str">
        <f t="shared" ref="E83:E102" si="29">IF(F83="","",RANK(F83,$F$3:$F$82,0))</f>
        <v/>
      </c>
      <c r="F83" s="28" t="str">
        <f>IF(AR83="","",IF(AA83='Instructions &amp; Reference'!$C$8,Scores!AR83,""))</f>
        <v/>
      </c>
      <c r="G83" s="29" t="str">
        <f t="shared" ref="G83:G102" si="30">IF(H83="","",RANK(H83,$H$3:$H$82,0))</f>
        <v/>
      </c>
      <c r="H83" s="29" t="str">
        <f>IF(AR83="","",IF(AA83='Instructions &amp; Reference'!$C$9,Scores!AR83,""))</f>
        <v/>
      </c>
      <c r="I83" s="28" t="str">
        <f t="shared" ref="I83:I102" si="31">IF(J83="","",RANK(J83,$J$3:$J$82,0))</f>
        <v/>
      </c>
      <c r="J83" s="28" t="str">
        <f>IF(AR83="","",IF(AA83='Instructions &amp; Reference'!$C$10,Scores!AR83,""))</f>
        <v/>
      </c>
      <c r="K83" s="29" t="str">
        <f t="shared" ref="K83:K102" si="32">IF(L83="","",RANK(L83,$L$3:$L$82,0))</f>
        <v/>
      </c>
      <c r="L83" s="29" t="str">
        <f>IF(AR83="","",IF(AA83='Instructions &amp; Reference'!$C$11,Scores!AR83,""))</f>
        <v/>
      </c>
      <c r="M83" s="28" t="str">
        <f t="shared" ref="M83:M102" si="33">IF(N83="","",RANK(N83,$N$3:$N$82,0))</f>
        <v/>
      </c>
      <c r="N83" s="28" t="str">
        <f>IF(AR83="","",IF(AA83='Instructions &amp; Reference'!$C$12,Scores!AR83,""))</f>
        <v/>
      </c>
      <c r="O83" s="29" t="str">
        <f t="shared" ref="O83:O102" si="34">IF(P83="","",RANK(P83,$P$3:$P$82,0))</f>
        <v/>
      </c>
      <c r="P83" s="29" t="str">
        <f>IF(AR83="","",IF(AA83='Instructions &amp; Reference'!$C$13,Scores!AR83,""))</f>
        <v/>
      </c>
      <c r="Q83" s="28" t="str">
        <f t="shared" ref="Q83:Q102" si="35">IF(R83="","",RANK(R83,$R$3:$R$82,0))</f>
        <v/>
      </c>
      <c r="R83" s="28" t="str">
        <f>IF(AR83="","",IF(AA83='Instructions &amp; Reference'!$C$14,Scores!AR83,""))</f>
        <v/>
      </c>
      <c r="S83" s="29" t="str">
        <f t="shared" ref="S83:S102" si="36">IF(T83="","",RANK(T83,$T$3:$T$82,0))</f>
        <v/>
      </c>
      <c r="T83" s="29" t="str">
        <f>IF(AR83="","",IF(AA83='Instructions &amp; Reference'!$C$15,Scores!AR83,""))</f>
        <v/>
      </c>
      <c r="U83" s="28" t="str">
        <f t="shared" ref="U83:U102" si="37">IF(V83="","",RANK(V83,$V$3:$V$82,0))</f>
        <v/>
      </c>
      <c r="V83" s="28" t="str">
        <f>IF(AR83="","",IF(AA83='Instructions &amp; Reference'!$C$16,Scores!AR83,""))</f>
        <v/>
      </c>
      <c r="W83" s="29" t="str">
        <f t="shared" ref="W83:W102" si="38">IF(X83="","",RANK(X83,$X$3:$X$82,0))</f>
        <v/>
      </c>
      <c r="X83" s="30" t="str">
        <f>IF(AR83="","",IF(AA83='Instructions &amp; Reference'!$C$17,Scores!AR83,""))</f>
        <v/>
      </c>
      <c r="Z83" s="32" t="str">
        <f>IF('Teams &amp; HM'!A130="","",'Teams &amp; HM'!A130)</f>
        <v/>
      </c>
      <c r="AA83" s="126" t="str">
        <f>IF('Teams &amp; HM'!H132="","",'Teams &amp; HM'!H132)</f>
        <v/>
      </c>
      <c r="AB83" s="126" t="str">
        <f>IF('Teams &amp; HM'!A132="","",'Teams &amp; HM'!A132)</f>
        <v/>
      </c>
      <c r="AC83" s="126" t="str">
        <f>IF('Teams &amp; HM'!B132="","",'Teams &amp; HM'!B132)</f>
        <v/>
      </c>
      <c r="AE83" s="126" t="str">
        <f>IF(Ride!V83="","",Ride!X83)</f>
        <v/>
      </c>
      <c r="AF83" s="126" t="str">
        <f>IF(Run!L83="","",Run!L83)</f>
        <v/>
      </c>
      <c r="AG83" s="126" t="str">
        <f>IF(Shoot!J83="","",Shoot!J83)</f>
        <v/>
      </c>
      <c r="AH83" s="126" t="str">
        <f>IF(Swim!K83="","",Swim!K83)</f>
        <v/>
      </c>
      <c r="AI83" s="126" t="str">
        <f t="shared" ref="AI83:AI102" si="39">IF(AE83="","",SUM(AE83:AH83))</f>
        <v/>
      </c>
      <c r="AK83" s="7"/>
      <c r="AL83" s="58" t="str">
        <f t="shared" si="26"/>
        <v/>
      </c>
      <c r="AN83" s="127" t="str">
        <f>IF('Teams &amp; HM'!Q132="","",'Teams &amp; HM'!Q132)</f>
        <v/>
      </c>
      <c r="AO83" s="127" t="str">
        <f>IF('Teams &amp; HM'!R132="","",'Teams &amp; HM'!R132)</f>
        <v/>
      </c>
      <c r="AP83" s="128">
        <f>IF('Teams &amp; HM'!T132="","",'Teams &amp; HM'!T132)</f>
        <v>0</v>
      </c>
      <c r="AR83" s="59" t="str">
        <f t="shared" si="27"/>
        <v/>
      </c>
      <c r="AT83" s="131"/>
      <c r="AU83" s="120" t="str">
        <f>IF(AC83="","",SUM(Ride!Y83+Run!M83+Shoot!K83+Swim!L83+AP83+AT83))</f>
        <v/>
      </c>
    </row>
    <row r="84" spans="1:47" x14ac:dyDescent="0.25">
      <c r="A84" s="28" t="str">
        <f t="shared" si="28"/>
        <v/>
      </c>
      <c r="B84" s="28" t="str">
        <f>IF(AR84="","",IF(AA84='Instructions &amp; Reference'!$C$6,Scores!AR84,""))</f>
        <v/>
      </c>
      <c r="C84" s="29" t="str">
        <f>IF(D84="","",RANK(D84,$D$3:$D163,0))</f>
        <v/>
      </c>
      <c r="D84" s="29" t="str">
        <f>IF(AR84="","",IF(AA84='Instructions &amp; Reference'!$C$7,Scores!AR84,""))</f>
        <v/>
      </c>
      <c r="E84" s="28" t="str">
        <f t="shared" si="29"/>
        <v/>
      </c>
      <c r="F84" s="28" t="str">
        <f>IF(AR84="","",IF(AA84='Instructions &amp; Reference'!$C$8,Scores!AR84,""))</f>
        <v/>
      </c>
      <c r="G84" s="29" t="str">
        <f t="shared" si="30"/>
        <v/>
      </c>
      <c r="H84" s="29" t="str">
        <f>IF(AR84="","",IF(AA84='Instructions &amp; Reference'!$C$9,Scores!AR84,""))</f>
        <v/>
      </c>
      <c r="I84" s="28" t="str">
        <f t="shared" si="31"/>
        <v/>
      </c>
      <c r="J84" s="28" t="str">
        <f>IF(AR84="","",IF(AA84='Instructions &amp; Reference'!$C$10,Scores!AR84,""))</f>
        <v/>
      </c>
      <c r="K84" s="29" t="str">
        <f t="shared" si="32"/>
        <v/>
      </c>
      <c r="L84" s="29" t="str">
        <f>IF(AR84="","",IF(AA84='Instructions &amp; Reference'!$C$11,Scores!AR84,""))</f>
        <v/>
      </c>
      <c r="M84" s="28" t="str">
        <f t="shared" si="33"/>
        <v/>
      </c>
      <c r="N84" s="28" t="str">
        <f>IF(AR84="","",IF(AA84='Instructions &amp; Reference'!$C$12,Scores!AR84,""))</f>
        <v/>
      </c>
      <c r="O84" s="29" t="str">
        <f t="shared" si="34"/>
        <v/>
      </c>
      <c r="P84" s="29" t="str">
        <f>IF(AR84="","",IF(AA84='Instructions &amp; Reference'!$C$13,Scores!AR84,""))</f>
        <v/>
      </c>
      <c r="Q84" s="28" t="str">
        <f t="shared" si="35"/>
        <v/>
      </c>
      <c r="R84" s="28" t="str">
        <f>IF(AR84="","",IF(AA84='Instructions &amp; Reference'!$C$14,Scores!AR84,""))</f>
        <v/>
      </c>
      <c r="S84" s="29" t="str">
        <f t="shared" si="36"/>
        <v/>
      </c>
      <c r="T84" s="29" t="str">
        <f>IF(AR84="","",IF(AA84='Instructions &amp; Reference'!$C$15,Scores!AR84,""))</f>
        <v/>
      </c>
      <c r="U84" s="28" t="str">
        <f t="shared" si="37"/>
        <v/>
      </c>
      <c r="V84" s="28" t="str">
        <f>IF(AR84="","",IF(AA84='Instructions &amp; Reference'!$C$16,Scores!AR84,""))</f>
        <v/>
      </c>
      <c r="W84" s="29" t="str">
        <f t="shared" si="38"/>
        <v/>
      </c>
      <c r="X84" s="30" t="str">
        <f>IF(AR84="","",IF(AA84='Instructions &amp; Reference'!$C$17,Scores!AR84,""))</f>
        <v/>
      </c>
      <c r="Z84" s="32" t="str">
        <f>IF('Teams &amp; HM'!A130="","",'Teams &amp; HM'!A130)</f>
        <v/>
      </c>
      <c r="AA84" s="126" t="str">
        <f>IF('Teams &amp; HM'!H133="","",'Teams &amp; HM'!H133)</f>
        <v/>
      </c>
      <c r="AB84" s="126" t="str">
        <f>IF('Teams &amp; HM'!A133="","",'Teams &amp; HM'!A133)</f>
        <v/>
      </c>
      <c r="AC84" s="126" t="str">
        <f>IF('Teams &amp; HM'!B133="","",'Teams &amp; HM'!B133)</f>
        <v/>
      </c>
      <c r="AE84" s="126" t="str">
        <f>IF(Ride!V84="","",Ride!X84)</f>
        <v/>
      </c>
      <c r="AF84" s="126" t="str">
        <f>IF(Run!L84="","",Run!L84)</f>
        <v/>
      </c>
      <c r="AG84" s="126" t="str">
        <f>IF(Shoot!J84="","",Shoot!J84)</f>
        <v/>
      </c>
      <c r="AH84" s="126" t="str">
        <f>IF(Swim!K84="","",Swim!K84)</f>
        <v/>
      </c>
      <c r="AI84" s="126" t="str">
        <f t="shared" si="39"/>
        <v/>
      </c>
      <c r="AK84" s="7"/>
      <c r="AL84" s="58" t="str">
        <f t="shared" si="26"/>
        <v/>
      </c>
      <c r="AN84" s="127" t="str">
        <f>IF('Teams &amp; HM'!Q133="","",'Teams &amp; HM'!Q133)</f>
        <v/>
      </c>
      <c r="AO84" s="127" t="str">
        <f>IF('Teams &amp; HM'!R133="","",'Teams &amp; HM'!R133)</f>
        <v/>
      </c>
      <c r="AP84" s="129"/>
      <c r="AR84" s="59" t="str">
        <f t="shared" si="27"/>
        <v/>
      </c>
      <c r="AT84" s="132"/>
      <c r="AU84" s="121"/>
    </row>
    <row r="85" spans="1:47" x14ac:dyDescent="0.25">
      <c r="A85" s="28" t="str">
        <f t="shared" si="28"/>
        <v/>
      </c>
      <c r="B85" s="28" t="str">
        <f>IF(AR85="","",IF(AA85='Instructions &amp; Reference'!$C$6,Scores!AR85,""))</f>
        <v/>
      </c>
      <c r="C85" s="29" t="str">
        <f>IF(D85="","",RANK(D85,$D$3:$D164,0))</f>
        <v/>
      </c>
      <c r="D85" s="29" t="str">
        <f>IF(AR85="","",IF(AA85='Instructions &amp; Reference'!$C$7,Scores!AR85,""))</f>
        <v/>
      </c>
      <c r="E85" s="28" t="str">
        <f t="shared" si="29"/>
        <v/>
      </c>
      <c r="F85" s="28" t="str">
        <f>IF(AR85="","",IF(AA85='Instructions &amp; Reference'!$C$8,Scores!AR85,""))</f>
        <v/>
      </c>
      <c r="G85" s="29" t="str">
        <f t="shared" si="30"/>
        <v/>
      </c>
      <c r="H85" s="29" t="str">
        <f>IF(AR85="","",IF(AA85='Instructions &amp; Reference'!$C$9,Scores!AR85,""))</f>
        <v/>
      </c>
      <c r="I85" s="28" t="str">
        <f t="shared" si="31"/>
        <v/>
      </c>
      <c r="J85" s="28" t="str">
        <f>IF(AR85="","",IF(AA85='Instructions &amp; Reference'!$C$10,Scores!AR85,""))</f>
        <v/>
      </c>
      <c r="K85" s="29" t="str">
        <f t="shared" si="32"/>
        <v/>
      </c>
      <c r="L85" s="29" t="str">
        <f>IF(AR85="","",IF(AA85='Instructions &amp; Reference'!$C$11,Scores!AR85,""))</f>
        <v/>
      </c>
      <c r="M85" s="28" t="str">
        <f t="shared" si="33"/>
        <v/>
      </c>
      <c r="N85" s="28" t="str">
        <f>IF(AR85="","",IF(AA85='Instructions &amp; Reference'!$C$12,Scores!AR85,""))</f>
        <v/>
      </c>
      <c r="O85" s="29" t="str">
        <f t="shared" si="34"/>
        <v/>
      </c>
      <c r="P85" s="29" t="str">
        <f>IF(AR85="","",IF(AA85='Instructions &amp; Reference'!$C$13,Scores!AR85,""))</f>
        <v/>
      </c>
      <c r="Q85" s="28" t="str">
        <f t="shared" si="35"/>
        <v/>
      </c>
      <c r="R85" s="28" t="str">
        <f>IF(AR85="","",IF(AA85='Instructions &amp; Reference'!$C$14,Scores!AR85,""))</f>
        <v/>
      </c>
      <c r="S85" s="29" t="str">
        <f t="shared" si="36"/>
        <v/>
      </c>
      <c r="T85" s="29" t="str">
        <f>IF(AR85="","",IF(AA85='Instructions &amp; Reference'!$C$15,Scores!AR85,""))</f>
        <v/>
      </c>
      <c r="U85" s="28" t="str">
        <f t="shared" si="37"/>
        <v/>
      </c>
      <c r="V85" s="28" t="str">
        <f>IF(AR85="","",IF(AA85='Instructions &amp; Reference'!$C$16,Scores!AR85,""))</f>
        <v/>
      </c>
      <c r="W85" s="29" t="str">
        <f t="shared" si="38"/>
        <v/>
      </c>
      <c r="X85" s="30" t="str">
        <f>IF(AR85="","",IF(AA85='Instructions &amp; Reference'!$C$17,Scores!AR85,""))</f>
        <v/>
      </c>
      <c r="Z85" s="32" t="str">
        <f>IF('Teams &amp; HM'!A130="","",'Teams &amp; HM'!A130)</f>
        <v/>
      </c>
      <c r="AA85" s="126" t="str">
        <f>IF('Teams &amp; HM'!H134="","",'Teams &amp; HM'!H134)</f>
        <v/>
      </c>
      <c r="AB85" s="126" t="str">
        <f>IF('Teams &amp; HM'!A134="","",'Teams &amp; HM'!A134)</f>
        <v/>
      </c>
      <c r="AC85" s="126" t="str">
        <f>IF('Teams &amp; HM'!B134="","",'Teams &amp; HM'!B134)</f>
        <v/>
      </c>
      <c r="AE85" s="126" t="str">
        <f>IF(Ride!V85="","",Ride!X85)</f>
        <v/>
      </c>
      <c r="AF85" s="126" t="str">
        <f>IF(Run!L85="","",Run!L85)</f>
        <v/>
      </c>
      <c r="AG85" s="126" t="str">
        <f>IF(Shoot!J85="","",Shoot!J85)</f>
        <v/>
      </c>
      <c r="AH85" s="126" t="str">
        <f>IF(Swim!K85="","",Swim!K85)</f>
        <v/>
      </c>
      <c r="AI85" s="126" t="str">
        <f t="shared" si="39"/>
        <v/>
      </c>
      <c r="AK85" s="7"/>
      <c r="AL85" s="58" t="str">
        <f t="shared" si="26"/>
        <v/>
      </c>
      <c r="AN85" s="127" t="str">
        <f>IF('Teams &amp; HM'!Q134="","",'Teams &amp; HM'!Q134)</f>
        <v/>
      </c>
      <c r="AO85" s="127" t="str">
        <f>IF('Teams &amp; HM'!R134="","",'Teams &amp; HM'!R134)</f>
        <v/>
      </c>
      <c r="AP85" s="129"/>
      <c r="AR85" s="59" t="str">
        <f t="shared" si="27"/>
        <v/>
      </c>
      <c r="AT85" s="132"/>
      <c r="AU85" s="121"/>
    </row>
    <row r="86" spans="1:47" x14ac:dyDescent="0.25">
      <c r="A86" s="28" t="str">
        <f t="shared" si="28"/>
        <v/>
      </c>
      <c r="B86" s="28" t="str">
        <f>IF(AR86="","",IF(AA86='Instructions &amp; Reference'!$C$6,Scores!AR86,""))</f>
        <v/>
      </c>
      <c r="C86" s="29" t="str">
        <f>IF(D86="","",RANK(D86,$D$3:$D165,0))</f>
        <v/>
      </c>
      <c r="D86" s="29" t="str">
        <f>IF(AR86="","",IF(AA86='Instructions &amp; Reference'!$C$7,Scores!AR86,""))</f>
        <v/>
      </c>
      <c r="E86" s="28" t="str">
        <f t="shared" si="29"/>
        <v/>
      </c>
      <c r="F86" s="28" t="str">
        <f>IF(AR86="","",IF(AA86='Instructions &amp; Reference'!$C$8,Scores!AR86,""))</f>
        <v/>
      </c>
      <c r="G86" s="29" t="str">
        <f t="shared" si="30"/>
        <v/>
      </c>
      <c r="H86" s="29" t="str">
        <f>IF(AR86="","",IF(AA86='Instructions &amp; Reference'!$C$9,Scores!AR86,""))</f>
        <v/>
      </c>
      <c r="I86" s="28" t="str">
        <f t="shared" si="31"/>
        <v/>
      </c>
      <c r="J86" s="28" t="str">
        <f>IF(AR86="","",IF(AA86='Instructions &amp; Reference'!$C$10,Scores!AR86,""))</f>
        <v/>
      </c>
      <c r="K86" s="29" t="str">
        <f t="shared" si="32"/>
        <v/>
      </c>
      <c r="L86" s="29" t="str">
        <f>IF(AR86="","",IF(AA86='Instructions &amp; Reference'!$C$11,Scores!AR86,""))</f>
        <v/>
      </c>
      <c r="M86" s="28" t="str">
        <f t="shared" si="33"/>
        <v/>
      </c>
      <c r="N86" s="28" t="str">
        <f>IF(AR86="","",IF(AA86='Instructions &amp; Reference'!$C$12,Scores!AR86,""))</f>
        <v/>
      </c>
      <c r="O86" s="29" t="str">
        <f t="shared" si="34"/>
        <v/>
      </c>
      <c r="P86" s="29" t="str">
        <f>IF(AR86="","",IF(AA86='Instructions &amp; Reference'!$C$13,Scores!AR86,""))</f>
        <v/>
      </c>
      <c r="Q86" s="28" t="str">
        <f t="shared" si="35"/>
        <v/>
      </c>
      <c r="R86" s="28" t="str">
        <f>IF(AR86="","",IF(AA86='Instructions &amp; Reference'!$C$14,Scores!AR86,""))</f>
        <v/>
      </c>
      <c r="S86" s="29" t="str">
        <f t="shared" si="36"/>
        <v/>
      </c>
      <c r="T86" s="29" t="str">
        <f>IF(AR86="","",IF(AA86='Instructions &amp; Reference'!$C$15,Scores!AR86,""))</f>
        <v/>
      </c>
      <c r="U86" s="28" t="str">
        <f t="shared" si="37"/>
        <v/>
      </c>
      <c r="V86" s="28" t="str">
        <f>IF(AR86="","",IF(AA86='Instructions &amp; Reference'!$C$16,Scores!AR86,""))</f>
        <v/>
      </c>
      <c r="W86" s="29" t="str">
        <f t="shared" si="38"/>
        <v/>
      </c>
      <c r="X86" s="30" t="str">
        <f>IF(AR86="","",IF(AA86='Instructions &amp; Reference'!$C$17,Scores!AR86,""))</f>
        <v/>
      </c>
      <c r="Z86" s="32" t="str">
        <f>IF('Teams &amp; HM'!A130="","",'Teams &amp; HM'!A130)</f>
        <v/>
      </c>
      <c r="AA86" s="126" t="str">
        <f>IF('Teams &amp; HM'!H135="","",'Teams &amp; HM'!H135)</f>
        <v/>
      </c>
      <c r="AB86" s="126" t="str">
        <f>IF('Teams &amp; HM'!A135="","",'Teams &amp; HM'!A135)</f>
        <v/>
      </c>
      <c r="AC86" s="126" t="str">
        <f>IF('Teams &amp; HM'!B135="","",'Teams &amp; HM'!B135)</f>
        <v/>
      </c>
      <c r="AE86" s="126" t="str">
        <f>IF(Ride!V86="","",Ride!X86)</f>
        <v/>
      </c>
      <c r="AF86" s="126" t="str">
        <f>IF(Run!L86="","",Run!L86)</f>
        <v/>
      </c>
      <c r="AG86" s="126" t="str">
        <f>IF(Shoot!J86="","",Shoot!J86)</f>
        <v/>
      </c>
      <c r="AH86" s="126" t="str">
        <f>IF(Swim!K86="","",Swim!K86)</f>
        <v/>
      </c>
      <c r="AI86" s="126" t="str">
        <f t="shared" si="39"/>
        <v/>
      </c>
      <c r="AK86" s="7"/>
      <c r="AL86" s="58" t="str">
        <f t="shared" si="26"/>
        <v/>
      </c>
      <c r="AN86" s="127" t="str">
        <f>IF('Teams &amp; HM'!Q135="","",'Teams &amp; HM'!Q135)</f>
        <v/>
      </c>
      <c r="AO86" s="127" t="str">
        <f>IF('Teams &amp; HM'!R135="","",'Teams &amp; HM'!R135)</f>
        <v/>
      </c>
      <c r="AP86" s="129"/>
      <c r="AR86" s="59" t="str">
        <f t="shared" si="27"/>
        <v/>
      </c>
      <c r="AT86" s="132"/>
      <c r="AU86" s="121"/>
    </row>
    <row r="87" spans="1:47" x14ac:dyDescent="0.25">
      <c r="A87" s="28" t="str">
        <f t="shared" si="28"/>
        <v/>
      </c>
      <c r="B87" s="28" t="str">
        <f>IF(AR87="","",IF(AA87='Instructions &amp; Reference'!$C$6,Scores!AR87,""))</f>
        <v/>
      </c>
      <c r="C87" s="29" t="str">
        <f>IF(D87="","",RANK(D87,$D$3:$D166,0))</f>
        <v/>
      </c>
      <c r="D87" s="29" t="str">
        <f>IF(AR87="","",IF(AA87='Instructions &amp; Reference'!$C$7,Scores!AR87,""))</f>
        <v/>
      </c>
      <c r="E87" s="28" t="str">
        <f t="shared" si="29"/>
        <v/>
      </c>
      <c r="F87" s="28" t="str">
        <f>IF(AR87="","",IF(AA87='Instructions &amp; Reference'!$C$8,Scores!AR87,""))</f>
        <v/>
      </c>
      <c r="G87" s="29" t="str">
        <f t="shared" si="30"/>
        <v/>
      </c>
      <c r="H87" s="29" t="str">
        <f>IF(AR87="","",IF(AA87='Instructions &amp; Reference'!$C$9,Scores!AR87,""))</f>
        <v/>
      </c>
      <c r="I87" s="28" t="str">
        <f t="shared" si="31"/>
        <v/>
      </c>
      <c r="J87" s="28" t="str">
        <f>IF(AR87="","",IF(AA87='Instructions &amp; Reference'!$C$10,Scores!AR87,""))</f>
        <v/>
      </c>
      <c r="K87" s="29" t="str">
        <f t="shared" si="32"/>
        <v/>
      </c>
      <c r="L87" s="29" t="str">
        <f>IF(AR87="","",IF(AA87='Instructions &amp; Reference'!$C$11,Scores!AR87,""))</f>
        <v/>
      </c>
      <c r="M87" s="28" t="str">
        <f t="shared" si="33"/>
        <v/>
      </c>
      <c r="N87" s="28" t="str">
        <f>IF(AR87="","",IF(AA87='Instructions &amp; Reference'!$C$12,Scores!AR87,""))</f>
        <v/>
      </c>
      <c r="O87" s="29" t="str">
        <f t="shared" si="34"/>
        <v/>
      </c>
      <c r="P87" s="29" t="str">
        <f>IF(AR87="","",IF(AA87='Instructions &amp; Reference'!$C$13,Scores!AR87,""))</f>
        <v/>
      </c>
      <c r="Q87" s="28" t="str">
        <f t="shared" si="35"/>
        <v/>
      </c>
      <c r="R87" s="28" t="str">
        <f>IF(AR87="","",IF(AA87='Instructions &amp; Reference'!$C$14,Scores!AR87,""))</f>
        <v/>
      </c>
      <c r="S87" s="29" t="str">
        <f t="shared" si="36"/>
        <v/>
      </c>
      <c r="T87" s="29" t="str">
        <f>IF(AR87="","",IF(AA87='Instructions &amp; Reference'!$C$15,Scores!AR87,""))</f>
        <v/>
      </c>
      <c r="U87" s="28" t="str">
        <f t="shared" si="37"/>
        <v/>
      </c>
      <c r="V87" s="28" t="str">
        <f>IF(AR87="","",IF(AA87='Instructions &amp; Reference'!$C$16,Scores!AR87,""))</f>
        <v/>
      </c>
      <c r="W87" s="29" t="str">
        <f t="shared" si="38"/>
        <v/>
      </c>
      <c r="X87" s="30" t="str">
        <f>IF(AR87="","",IF(AA87='Instructions &amp; Reference'!$C$17,Scores!AR87,""))</f>
        <v/>
      </c>
      <c r="Z87" s="32" t="str">
        <f>IF('Teams &amp; HM'!A130="","",'Teams &amp; HM'!A130)</f>
        <v/>
      </c>
      <c r="AA87" s="126" t="str">
        <f>IF('Teams &amp; HM'!H136="","",'Teams &amp; HM'!H136)</f>
        <v/>
      </c>
      <c r="AB87" s="126" t="str">
        <f>IF('Teams &amp; HM'!A136="","",'Teams &amp; HM'!A136)</f>
        <v/>
      </c>
      <c r="AC87" s="126" t="str">
        <f>IF('Teams &amp; HM'!B136="","",'Teams &amp; HM'!B136)</f>
        <v/>
      </c>
      <c r="AE87" s="126" t="str">
        <f>IF(Ride!V87="","",Ride!X87)</f>
        <v/>
      </c>
      <c r="AF87" s="126" t="str">
        <f>IF(Run!L87="","",Run!L87)</f>
        <v/>
      </c>
      <c r="AG87" s="126" t="str">
        <f>IF(Shoot!J87="","",Shoot!J87)</f>
        <v/>
      </c>
      <c r="AH87" s="126" t="str">
        <f>IF(Swim!K87="","",Swim!K87)</f>
        <v/>
      </c>
      <c r="AI87" s="126" t="str">
        <f t="shared" si="39"/>
        <v/>
      </c>
      <c r="AK87" s="7"/>
      <c r="AL87" s="58" t="str">
        <f t="shared" si="26"/>
        <v/>
      </c>
      <c r="AN87" s="127" t="str">
        <f>IF('Teams &amp; HM'!Q136="","",'Teams &amp; HM'!Q136)</f>
        <v/>
      </c>
      <c r="AO87" s="127" t="str">
        <f>IF('Teams &amp; HM'!R136="","",'Teams &amp; HM'!R136)</f>
        <v/>
      </c>
      <c r="AP87" s="130"/>
      <c r="AR87" s="59" t="str">
        <f t="shared" si="27"/>
        <v/>
      </c>
      <c r="AT87" s="133"/>
      <c r="AU87" s="122"/>
    </row>
    <row r="88" spans="1:47" x14ac:dyDescent="0.25">
      <c r="A88" s="28" t="str">
        <f t="shared" si="28"/>
        <v/>
      </c>
      <c r="B88" s="28" t="str">
        <f>IF(AR88="","",IF(AA88='Instructions &amp; Reference'!$C$6,Scores!AR88,""))</f>
        <v/>
      </c>
      <c r="C88" s="29" t="str">
        <f>IF(D88="","",RANK(D88,$D$3:$D167,0))</f>
        <v/>
      </c>
      <c r="D88" s="29" t="str">
        <f>IF(AR88="","",IF(AA88='Instructions &amp; Reference'!$C$7,Scores!AR88,""))</f>
        <v/>
      </c>
      <c r="E88" s="28" t="str">
        <f t="shared" si="29"/>
        <v/>
      </c>
      <c r="F88" s="28" t="str">
        <f>IF(AR88="","",IF(AA88='Instructions &amp; Reference'!$C$8,Scores!AR88,""))</f>
        <v/>
      </c>
      <c r="G88" s="29" t="str">
        <f t="shared" si="30"/>
        <v/>
      </c>
      <c r="H88" s="29" t="str">
        <f>IF(AR88="","",IF(AA88='Instructions &amp; Reference'!$C$9,Scores!AR88,""))</f>
        <v/>
      </c>
      <c r="I88" s="28" t="str">
        <f t="shared" si="31"/>
        <v/>
      </c>
      <c r="J88" s="28" t="str">
        <f>IF(AR88="","",IF(AA88='Instructions &amp; Reference'!$C$10,Scores!AR88,""))</f>
        <v/>
      </c>
      <c r="K88" s="29" t="str">
        <f t="shared" si="32"/>
        <v/>
      </c>
      <c r="L88" s="29" t="str">
        <f>IF(AR88="","",IF(AA88='Instructions &amp; Reference'!$C$11,Scores!AR88,""))</f>
        <v/>
      </c>
      <c r="M88" s="28" t="str">
        <f t="shared" si="33"/>
        <v/>
      </c>
      <c r="N88" s="28" t="str">
        <f>IF(AR88="","",IF(AA88='Instructions &amp; Reference'!$C$12,Scores!AR88,""))</f>
        <v/>
      </c>
      <c r="O88" s="29" t="str">
        <f t="shared" si="34"/>
        <v/>
      </c>
      <c r="P88" s="29" t="str">
        <f>IF(AR88="","",IF(AA88='Instructions &amp; Reference'!$C$13,Scores!AR88,""))</f>
        <v/>
      </c>
      <c r="Q88" s="28" t="str">
        <f t="shared" si="35"/>
        <v/>
      </c>
      <c r="R88" s="28" t="str">
        <f>IF(AR88="","",IF(AA88='Instructions &amp; Reference'!$C$14,Scores!AR88,""))</f>
        <v/>
      </c>
      <c r="S88" s="29" t="str">
        <f t="shared" si="36"/>
        <v/>
      </c>
      <c r="T88" s="29" t="str">
        <f>IF(AR88="","",IF(AA88='Instructions &amp; Reference'!$C$15,Scores!AR88,""))</f>
        <v/>
      </c>
      <c r="U88" s="28" t="str">
        <f t="shared" si="37"/>
        <v/>
      </c>
      <c r="V88" s="28" t="str">
        <f>IF(AR88="","",IF(AA88='Instructions &amp; Reference'!$C$16,Scores!AR88,""))</f>
        <v/>
      </c>
      <c r="W88" s="29" t="str">
        <f t="shared" si="38"/>
        <v/>
      </c>
      <c r="X88" s="30" t="str">
        <f>IF(AR88="","",IF(AA88='Instructions &amp; Reference'!$C$17,Scores!AR88,""))</f>
        <v/>
      </c>
      <c r="Z88" s="32" t="str">
        <f>IF('Teams &amp; HM'!A138="","",'Teams &amp; HM'!A138)</f>
        <v/>
      </c>
      <c r="AA88" s="126" t="str">
        <f>IF('Teams &amp; HM'!H140="","",'Teams &amp; HM'!H140)</f>
        <v/>
      </c>
      <c r="AB88" s="126" t="str">
        <f>IF('Teams &amp; HM'!A140="","",'Teams &amp; HM'!A140)</f>
        <v/>
      </c>
      <c r="AC88" s="126" t="str">
        <f>IF('Teams &amp; HM'!B140="","",'Teams &amp; HM'!B140)</f>
        <v/>
      </c>
      <c r="AE88" s="126" t="str">
        <f>IF(Ride!V88="","",Ride!X88)</f>
        <v/>
      </c>
      <c r="AF88" s="126" t="str">
        <f>IF(Run!L88="","",Run!L88)</f>
        <v/>
      </c>
      <c r="AG88" s="126" t="str">
        <f>IF(Shoot!J88="","",Shoot!J88)</f>
        <v/>
      </c>
      <c r="AH88" s="126" t="str">
        <f>IF(Swim!K88="","",Swim!K88)</f>
        <v/>
      </c>
      <c r="AI88" s="126" t="str">
        <f t="shared" si="39"/>
        <v/>
      </c>
      <c r="AK88" s="7"/>
      <c r="AL88" s="58" t="str">
        <f t="shared" si="26"/>
        <v/>
      </c>
      <c r="AN88" s="127" t="str">
        <f>IF('Teams &amp; HM'!Q140="","",'Teams &amp; HM'!Q140)</f>
        <v/>
      </c>
      <c r="AO88" s="127" t="str">
        <f>IF('Teams &amp; HM'!R140="","",'Teams &amp; HM'!R140)</f>
        <v/>
      </c>
      <c r="AP88" s="128">
        <f>IF('Teams &amp; HM'!T140="","",'Teams &amp; HM'!T140)</f>
        <v>0</v>
      </c>
      <c r="AR88" s="59" t="str">
        <f t="shared" si="27"/>
        <v/>
      </c>
      <c r="AT88" s="131"/>
      <c r="AU88" s="120" t="str">
        <f>IF(AC88="","",SUM(Ride!Y88+Run!M88+Shoot!K88+Swim!L88+AP88+AT88))</f>
        <v/>
      </c>
    </row>
    <row r="89" spans="1:47" x14ac:dyDescent="0.25">
      <c r="A89" s="28" t="str">
        <f t="shared" si="28"/>
        <v/>
      </c>
      <c r="B89" s="28" t="str">
        <f>IF(AR89="","",IF(AA89='Instructions &amp; Reference'!$C$6,Scores!AR89,""))</f>
        <v/>
      </c>
      <c r="C89" s="29" t="str">
        <f>IF(D89="","",RANK(D89,$D$3:$D168,0))</f>
        <v/>
      </c>
      <c r="D89" s="29" t="str">
        <f>IF(AR89="","",IF(AA89='Instructions &amp; Reference'!$C$7,Scores!AR89,""))</f>
        <v/>
      </c>
      <c r="E89" s="28" t="str">
        <f t="shared" si="29"/>
        <v/>
      </c>
      <c r="F89" s="28" t="str">
        <f>IF(AR89="","",IF(AA89='Instructions &amp; Reference'!$C$8,Scores!AR89,""))</f>
        <v/>
      </c>
      <c r="G89" s="29" t="str">
        <f t="shared" si="30"/>
        <v/>
      </c>
      <c r="H89" s="29" t="str">
        <f>IF(AR89="","",IF(AA89='Instructions &amp; Reference'!$C$9,Scores!AR89,""))</f>
        <v/>
      </c>
      <c r="I89" s="28" t="str">
        <f t="shared" si="31"/>
        <v/>
      </c>
      <c r="J89" s="28" t="str">
        <f>IF(AR89="","",IF(AA89='Instructions &amp; Reference'!$C$10,Scores!AR89,""))</f>
        <v/>
      </c>
      <c r="K89" s="29" t="str">
        <f t="shared" si="32"/>
        <v/>
      </c>
      <c r="L89" s="29" t="str">
        <f>IF(AR89="","",IF(AA89='Instructions &amp; Reference'!$C$11,Scores!AR89,""))</f>
        <v/>
      </c>
      <c r="M89" s="28" t="str">
        <f t="shared" si="33"/>
        <v/>
      </c>
      <c r="N89" s="28" t="str">
        <f>IF(AR89="","",IF(AA89='Instructions &amp; Reference'!$C$12,Scores!AR89,""))</f>
        <v/>
      </c>
      <c r="O89" s="29" t="str">
        <f t="shared" si="34"/>
        <v/>
      </c>
      <c r="P89" s="29" t="str">
        <f>IF(AR89="","",IF(AA89='Instructions &amp; Reference'!$C$13,Scores!AR89,""))</f>
        <v/>
      </c>
      <c r="Q89" s="28" t="str">
        <f t="shared" si="35"/>
        <v/>
      </c>
      <c r="R89" s="28" t="str">
        <f>IF(AR89="","",IF(AA89='Instructions &amp; Reference'!$C$14,Scores!AR89,""))</f>
        <v/>
      </c>
      <c r="S89" s="29" t="str">
        <f t="shared" si="36"/>
        <v/>
      </c>
      <c r="T89" s="29" t="str">
        <f>IF(AR89="","",IF(AA89='Instructions &amp; Reference'!$C$15,Scores!AR89,""))</f>
        <v/>
      </c>
      <c r="U89" s="28" t="str">
        <f t="shared" si="37"/>
        <v/>
      </c>
      <c r="V89" s="28" t="str">
        <f>IF(AR89="","",IF(AA89='Instructions &amp; Reference'!$C$16,Scores!AR89,""))</f>
        <v/>
      </c>
      <c r="W89" s="29" t="str">
        <f t="shared" si="38"/>
        <v/>
      </c>
      <c r="X89" s="30" t="str">
        <f>IF(AR89="","",IF(AA89='Instructions &amp; Reference'!$C$17,Scores!AR89,""))</f>
        <v/>
      </c>
      <c r="Z89" s="32" t="str">
        <f>IF('Teams &amp; HM'!A138="","",'Teams &amp; HM'!A138)</f>
        <v/>
      </c>
      <c r="AA89" s="126" t="str">
        <f>IF('Teams &amp; HM'!H141="","",'Teams &amp; HM'!H141)</f>
        <v/>
      </c>
      <c r="AB89" s="126" t="str">
        <f>IF('Teams &amp; HM'!A141="","",'Teams &amp; HM'!A141)</f>
        <v/>
      </c>
      <c r="AC89" s="126" t="str">
        <f>IF('Teams &amp; HM'!B141="","",'Teams &amp; HM'!B141)</f>
        <v/>
      </c>
      <c r="AE89" s="126" t="str">
        <f>IF(Ride!V89="","",Ride!X89)</f>
        <v/>
      </c>
      <c r="AF89" s="126" t="str">
        <f>IF(Run!L89="","",Run!L89)</f>
        <v/>
      </c>
      <c r="AG89" s="126" t="str">
        <f>IF(Shoot!J89="","",Shoot!J89)</f>
        <v/>
      </c>
      <c r="AH89" s="126" t="str">
        <f>IF(Swim!K89="","",Swim!K89)</f>
        <v/>
      </c>
      <c r="AI89" s="126" t="str">
        <f t="shared" si="39"/>
        <v/>
      </c>
      <c r="AK89" s="7"/>
      <c r="AL89" s="58" t="str">
        <f t="shared" si="26"/>
        <v/>
      </c>
      <c r="AN89" s="127" t="str">
        <f>IF('Teams &amp; HM'!Q141="","",'Teams &amp; HM'!Q141)</f>
        <v/>
      </c>
      <c r="AO89" s="127" t="str">
        <f>IF('Teams &amp; HM'!R141="","",'Teams &amp; HM'!R141)</f>
        <v/>
      </c>
      <c r="AP89" s="129"/>
      <c r="AR89" s="59" t="str">
        <f t="shared" si="27"/>
        <v/>
      </c>
      <c r="AT89" s="132"/>
      <c r="AU89" s="121"/>
    </row>
    <row r="90" spans="1:47" x14ac:dyDescent="0.25">
      <c r="A90" s="28" t="str">
        <f t="shared" si="28"/>
        <v/>
      </c>
      <c r="B90" s="28" t="str">
        <f>IF(AR90="","",IF(AA90='Instructions &amp; Reference'!$C$6,Scores!AR90,""))</f>
        <v/>
      </c>
      <c r="C90" s="29" t="str">
        <f>IF(D90="","",RANK(D90,$D$3:$D169,0))</f>
        <v/>
      </c>
      <c r="D90" s="29" t="str">
        <f>IF(AR90="","",IF(AA90='Instructions &amp; Reference'!$C$7,Scores!AR90,""))</f>
        <v/>
      </c>
      <c r="E90" s="28" t="str">
        <f t="shared" si="29"/>
        <v/>
      </c>
      <c r="F90" s="28" t="str">
        <f>IF(AR90="","",IF(AA90='Instructions &amp; Reference'!$C$8,Scores!AR90,""))</f>
        <v/>
      </c>
      <c r="G90" s="29" t="str">
        <f t="shared" si="30"/>
        <v/>
      </c>
      <c r="H90" s="29" t="str">
        <f>IF(AR90="","",IF(AA90='Instructions &amp; Reference'!$C$9,Scores!AR90,""))</f>
        <v/>
      </c>
      <c r="I90" s="28" t="str">
        <f t="shared" si="31"/>
        <v/>
      </c>
      <c r="J90" s="28" t="str">
        <f>IF(AR90="","",IF(AA90='Instructions &amp; Reference'!$C$10,Scores!AR90,""))</f>
        <v/>
      </c>
      <c r="K90" s="29" t="str">
        <f t="shared" si="32"/>
        <v/>
      </c>
      <c r="L90" s="29" t="str">
        <f>IF(AR90="","",IF(AA90='Instructions &amp; Reference'!$C$11,Scores!AR90,""))</f>
        <v/>
      </c>
      <c r="M90" s="28" t="str">
        <f t="shared" si="33"/>
        <v/>
      </c>
      <c r="N90" s="28" t="str">
        <f>IF(AR90="","",IF(AA90='Instructions &amp; Reference'!$C$12,Scores!AR90,""))</f>
        <v/>
      </c>
      <c r="O90" s="29" t="str">
        <f t="shared" si="34"/>
        <v/>
      </c>
      <c r="P90" s="29" t="str">
        <f>IF(AR90="","",IF(AA90='Instructions &amp; Reference'!$C$13,Scores!AR90,""))</f>
        <v/>
      </c>
      <c r="Q90" s="28" t="str">
        <f t="shared" si="35"/>
        <v/>
      </c>
      <c r="R90" s="28" t="str">
        <f>IF(AR90="","",IF(AA90='Instructions &amp; Reference'!$C$14,Scores!AR90,""))</f>
        <v/>
      </c>
      <c r="S90" s="29" t="str">
        <f t="shared" si="36"/>
        <v/>
      </c>
      <c r="T90" s="29" t="str">
        <f>IF(AR90="","",IF(AA90='Instructions &amp; Reference'!$C$15,Scores!AR90,""))</f>
        <v/>
      </c>
      <c r="U90" s="28" t="str">
        <f t="shared" si="37"/>
        <v/>
      </c>
      <c r="V90" s="28" t="str">
        <f>IF(AR90="","",IF(AA90='Instructions &amp; Reference'!$C$16,Scores!AR90,""))</f>
        <v/>
      </c>
      <c r="W90" s="29" t="str">
        <f t="shared" si="38"/>
        <v/>
      </c>
      <c r="X90" s="30" t="str">
        <f>IF(AR90="","",IF(AA90='Instructions &amp; Reference'!$C$17,Scores!AR90,""))</f>
        <v/>
      </c>
      <c r="Z90" s="32" t="str">
        <f>IF('Teams &amp; HM'!A138="","",'Teams &amp; HM'!A138)</f>
        <v/>
      </c>
      <c r="AA90" s="126" t="str">
        <f>IF('Teams &amp; HM'!H142="","",'Teams &amp; HM'!H142)</f>
        <v/>
      </c>
      <c r="AB90" s="126" t="str">
        <f>IF('Teams &amp; HM'!A142="","",'Teams &amp; HM'!A142)</f>
        <v/>
      </c>
      <c r="AC90" s="126" t="str">
        <f>IF('Teams &amp; HM'!B142="","",'Teams &amp; HM'!B142)</f>
        <v/>
      </c>
      <c r="AE90" s="126" t="str">
        <f>IF(Ride!V90="","",Ride!X90)</f>
        <v/>
      </c>
      <c r="AF90" s="126" t="str">
        <f>IF(Run!L90="","",Run!L90)</f>
        <v/>
      </c>
      <c r="AG90" s="126" t="str">
        <f>IF(Shoot!J90="","",Shoot!J90)</f>
        <v/>
      </c>
      <c r="AH90" s="126" t="str">
        <f>IF(Swim!K90="","",Swim!K90)</f>
        <v/>
      </c>
      <c r="AI90" s="126" t="str">
        <f t="shared" si="39"/>
        <v/>
      </c>
      <c r="AK90" s="7"/>
      <c r="AL90" s="58" t="str">
        <f t="shared" si="26"/>
        <v/>
      </c>
      <c r="AN90" s="127" t="str">
        <f>IF('Teams &amp; HM'!Q142="","",'Teams &amp; HM'!Q142)</f>
        <v/>
      </c>
      <c r="AO90" s="127" t="str">
        <f>IF('Teams &amp; HM'!R142="","",'Teams &amp; HM'!R142)</f>
        <v/>
      </c>
      <c r="AP90" s="129"/>
      <c r="AR90" s="59" t="str">
        <f t="shared" si="27"/>
        <v/>
      </c>
      <c r="AT90" s="132"/>
      <c r="AU90" s="121"/>
    </row>
    <row r="91" spans="1:47" x14ac:dyDescent="0.25">
      <c r="A91" s="28" t="str">
        <f t="shared" si="28"/>
        <v/>
      </c>
      <c r="B91" s="28" t="str">
        <f>IF(AR91="","",IF(AA91='Instructions &amp; Reference'!$C$6,Scores!AR91,""))</f>
        <v/>
      </c>
      <c r="C91" s="29" t="str">
        <f>IF(D91="","",RANK(D91,$D$3:$D170,0))</f>
        <v/>
      </c>
      <c r="D91" s="29" t="str">
        <f>IF(AR91="","",IF(AA91='Instructions &amp; Reference'!$C$7,Scores!AR91,""))</f>
        <v/>
      </c>
      <c r="E91" s="28" t="str">
        <f t="shared" si="29"/>
        <v/>
      </c>
      <c r="F91" s="28" t="str">
        <f>IF(AR91="","",IF(AA91='Instructions &amp; Reference'!$C$8,Scores!AR91,""))</f>
        <v/>
      </c>
      <c r="G91" s="29" t="str">
        <f t="shared" si="30"/>
        <v/>
      </c>
      <c r="H91" s="29" t="str">
        <f>IF(AR91="","",IF(AA91='Instructions &amp; Reference'!$C$9,Scores!AR91,""))</f>
        <v/>
      </c>
      <c r="I91" s="28" t="str">
        <f t="shared" si="31"/>
        <v/>
      </c>
      <c r="J91" s="28" t="str">
        <f>IF(AR91="","",IF(AA91='Instructions &amp; Reference'!$C$10,Scores!AR91,""))</f>
        <v/>
      </c>
      <c r="K91" s="29" t="str">
        <f t="shared" si="32"/>
        <v/>
      </c>
      <c r="L91" s="29" t="str">
        <f>IF(AR91="","",IF(AA91='Instructions &amp; Reference'!$C$11,Scores!AR91,""))</f>
        <v/>
      </c>
      <c r="M91" s="28" t="str">
        <f t="shared" si="33"/>
        <v/>
      </c>
      <c r="N91" s="28" t="str">
        <f>IF(AR91="","",IF(AA91='Instructions &amp; Reference'!$C$12,Scores!AR91,""))</f>
        <v/>
      </c>
      <c r="O91" s="29" t="str">
        <f t="shared" si="34"/>
        <v/>
      </c>
      <c r="P91" s="29" t="str">
        <f>IF(AR91="","",IF(AA91='Instructions &amp; Reference'!$C$13,Scores!AR91,""))</f>
        <v/>
      </c>
      <c r="Q91" s="28" t="str">
        <f t="shared" si="35"/>
        <v/>
      </c>
      <c r="R91" s="28" t="str">
        <f>IF(AR91="","",IF(AA91='Instructions &amp; Reference'!$C$14,Scores!AR91,""))</f>
        <v/>
      </c>
      <c r="S91" s="29" t="str">
        <f t="shared" si="36"/>
        <v/>
      </c>
      <c r="T91" s="29" t="str">
        <f>IF(AR91="","",IF(AA91='Instructions &amp; Reference'!$C$15,Scores!AR91,""))</f>
        <v/>
      </c>
      <c r="U91" s="28" t="str">
        <f t="shared" si="37"/>
        <v/>
      </c>
      <c r="V91" s="28" t="str">
        <f>IF(AR91="","",IF(AA91='Instructions &amp; Reference'!$C$16,Scores!AR91,""))</f>
        <v/>
      </c>
      <c r="W91" s="29" t="str">
        <f t="shared" si="38"/>
        <v/>
      </c>
      <c r="X91" s="30" t="str">
        <f>IF(AR91="","",IF(AA91='Instructions &amp; Reference'!$C$17,Scores!AR91,""))</f>
        <v/>
      </c>
      <c r="Z91" s="32" t="str">
        <f>IF('Teams &amp; HM'!A138="","",'Teams &amp; HM'!A138)</f>
        <v/>
      </c>
      <c r="AA91" s="126" t="str">
        <f>IF('Teams &amp; HM'!H143="","",'Teams &amp; HM'!H143)</f>
        <v/>
      </c>
      <c r="AB91" s="126" t="str">
        <f>IF('Teams &amp; HM'!A143="","",'Teams &amp; HM'!A143)</f>
        <v/>
      </c>
      <c r="AC91" s="126" t="str">
        <f>IF('Teams &amp; HM'!B143="","",'Teams &amp; HM'!B143)</f>
        <v/>
      </c>
      <c r="AE91" s="126" t="str">
        <f>IF(Ride!V91="","",Ride!X91)</f>
        <v/>
      </c>
      <c r="AF91" s="126" t="str">
        <f>IF(Run!L91="","",Run!L91)</f>
        <v/>
      </c>
      <c r="AG91" s="126" t="str">
        <f>IF(Shoot!J91="","",Shoot!J91)</f>
        <v/>
      </c>
      <c r="AH91" s="126" t="str">
        <f>IF(Swim!K91="","",Swim!K91)</f>
        <v/>
      </c>
      <c r="AI91" s="126" t="str">
        <f t="shared" si="39"/>
        <v/>
      </c>
      <c r="AK91" s="7"/>
      <c r="AL91" s="58" t="str">
        <f t="shared" si="26"/>
        <v/>
      </c>
      <c r="AN91" s="127" t="str">
        <f>IF('Teams &amp; HM'!Q143="","",'Teams &amp; HM'!Q143)</f>
        <v/>
      </c>
      <c r="AO91" s="127" t="str">
        <f>IF('Teams &amp; HM'!R143="","",'Teams &amp; HM'!R143)</f>
        <v/>
      </c>
      <c r="AP91" s="129"/>
      <c r="AR91" s="59" t="str">
        <f t="shared" si="27"/>
        <v/>
      </c>
      <c r="AT91" s="132"/>
      <c r="AU91" s="121"/>
    </row>
    <row r="92" spans="1:47" x14ac:dyDescent="0.25">
      <c r="A92" s="28" t="str">
        <f t="shared" si="28"/>
        <v/>
      </c>
      <c r="B92" s="28" t="str">
        <f>IF(AR92="","",IF(AA92='Instructions &amp; Reference'!$C$6,Scores!AR92,""))</f>
        <v/>
      </c>
      <c r="C92" s="29" t="str">
        <f>IF(D92="","",RANK(D92,$D$3:$D171,0))</f>
        <v/>
      </c>
      <c r="D92" s="29" t="str">
        <f>IF(AR92="","",IF(AA92='Instructions &amp; Reference'!$C$7,Scores!AR92,""))</f>
        <v/>
      </c>
      <c r="E92" s="28" t="str">
        <f t="shared" si="29"/>
        <v/>
      </c>
      <c r="F92" s="28" t="str">
        <f>IF(AR92="","",IF(AA92='Instructions &amp; Reference'!$C$8,Scores!AR92,""))</f>
        <v/>
      </c>
      <c r="G92" s="29" t="str">
        <f t="shared" si="30"/>
        <v/>
      </c>
      <c r="H92" s="29" t="str">
        <f>IF(AR92="","",IF(AA92='Instructions &amp; Reference'!$C$9,Scores!AR92,""))</f>
        <v/>
      </c>
      <c r="I92" s="28" t="str">
        <f t="shared" si="31"/>
        <v/>
      </c>
      <c r="J92" s="28" t="str">
        <f>IF(AR92="","",IF(AA92='Instructions &amp; Reference'!$C$10,Scores!AR92,""))</f>
        <v/>
      </c>
      <c r="K92" s="29" t="str">
        <f t="shared" si="32"/>
        <v/>
      </c>
      <c r="L92" s="29" t="str">
        <f>IF(AR92="","",IF(AA92='Instructions &amp; Reference'!$C$11,Scores!AR92,""))</f>
        <v/>
      </c>
      <c r="M92" s="28" t="str">
        <f t="shared" si="33"/>
        <v/>
      </c>
      <c r="N92" s="28" t="str">
        <f>IF(AR92="","",IF(AA92='Instructions &amp; Reference'!$C$12,Scores!AR92,""))</f>
        <v/>
      </c>
      <c r="O92" s="29" t="str">
        <f t="shared" si="34"/>
        <v/>
      </c>
      <c r="P92" s="29" t="str">
        <f>IF(AR92="","",IF(AA92='Instructions &amp; Reference'!$C$13,Scores!AR92,""))</f>
        <v/>
      </c>
      <c r="Q92" s="28" t="str">
        <f t="shared" si="35"/>
        <v/>
      </c>
      <c r="R92" s="28" t="str">
        <f>IF(AR92="","",IF(AA92='Instructions &amp; Reference'!$C$14,Scores!AR92,""))</f>
        <v/>
      </c>
      <c r="S92" s="29" t="str">
        <f t="shared" si="36"/>
        <v/>
      </c>
      <c r="T92" s="29" t="str">
        <f>IF(AR92="","",IF(AA92='Instructions &amp; Reference'!$C$15,Scores!AR92,""))</f>
        <v/>
      </c>
      <c r="U92" s="28" t="str">
        <f t="shared" si="37"/>
        <v/>
      </c>
      <c r="V92" s="28" t="str">
        <f>IF(AR92="","",IF(AA92='Instructions &amp; Reference'!$C$16,Scores!AR92,""))</f>
        <v/>
      </c>
      <c r="W92" s="29" t="str">
        <f t="shared" si="38"/>
        <v/>
      </c>
      <c r="X92" s="30" t="str">
        <f>IF(AR92="","",IF(AA92='Instructions &amp; Reference'!$C$17,Scores!AR92,""))</f>
        <v/>
      </c>
      <c r="Z92" s="32" t="str">
        <f>IF('Teams &amp; HM'!A138="","",'Teams &amp; HM'!A138)</f>
        <v/>
      </c>
      <c r="AA92" s="126" t="str">
        <f>IF('Teams &amp; HM'!H144="","",'Teams &amp; HM'!H144)</f>
        <v/>
      </c>
      <c r="AB92" s="126" t="str">
        <f>IF('Teams &amp; HM'!A144="","",'Teams &amp; HM'!A144)</f>
        <v/>
      </c>
      <c r="AC92" s="126" t="str">
        <f>IF('Teams &amp; HM'!B144="","",'Teams &amp; HM'!B144)</f>
        <v/>
      </c>
      <c r="AE92" s="126" t="str">
        <f>IF(Ride!V92="","",Ride!X92)</f>
        <v/>
      </c>
      <c r="AF92" s="126" t="str">
        <f>IF(Run!L92="","",Run!L92)</f>
        <v/>
      </c>
      <c r="AG92" s="126" t="str">
        <f>IF(Shoot!J92="","",Shoot!J92)</f>
        <v/>
      </c>
      <c r="AH92" s="126" t="str">
        <f>IF(Swim!K92="","",Swim!K92)</f>
        <v/>
      </c>
      <c r="AI92" s="126" t="str">
        <f t="shared" si="39"/>
        <v/>
      </c>
      <c r="AK92" s="7"/>
      <c r="AL92" s="58" t="str">
        <f t="shared" si="26"/>
        <v/>
      </c>
      <c r="AN92" s="127" t="str">
        <f>IF('Teams &amp; HM'!Q144="","",'Teams &amp; HM'!Q144)</f>
        <v/>
      </c>
      <c r="AO92" s="127" t="str">
        <f>IF('Teams &amp; HM'!R144="","",'Teams &amp; HM'!R144)</f>
        <v/>
      </c>
      <c r="AP92" s="130"/>
      <c r="AR92" s="59" t="str">
        <f t="shared" si="27"/>
        <v/>
      </c>
      <c r="AT92" s="133"/>
      <c r="AU92" s="122"/>
    </row>
    <row r="93" spans="1:47" x14ac:dyDescent="0.25">
      <c r="A93" s="28" t="str">
        <f t="shared" si="28"/>
        <v/>
      </c>
      <c r="B93" s="28" t="str">
        <f>IF(AR93="","",IF(AA93='Instructions &amp; Reference'!$C$6,Scores!AR93,""))</f>
        <v/>
      </c>
      <c r="C93" s="29" t="str">
        <f>IF(D93="","",RANK(D93,$D$3:$D172,0))</f>
        <v/>
      </c>
      <c r="D93" s="29" t="str">
        <f>IF(AR93="","",IF(AA93='Instructions &amp; Reference'!$C$7,Scores!AR93,""))</f>
        <v/>
      </c>
      <c r="E93" s="28" t="str">
        <f t="shared" si="29"/>
        <v/>
      </c>
      <c r="F93" s="28" t="str">
        <f>IF(AR93="","",IF(AA93='Instructions &amp; Reference'!$C$8,Scores!AR93,""))</f>
        <v/>
      </c>
      <c r="G93" s="29" t="str">
        <f t="shared" si="30"/>
        <v/>
      </c>
      <c r="H93" s="29" t="str">
        <f>IF(AR93="","",IF(AA93='Instructions &amp; Reference'!$C$9,Scores!AR93,""))</f>
        <v/>
      </c>
      <c r="I93" s="28" t="str">
        <f t="shared" si="31"/>
        <v/>
      </c>
      <c r="J93" s="28" t="str">
        <f>IF(AR93="","",IF(AA93='Instructions &amp; Reference'!$C$10,Scores!AR93,""))</f>
        <v/>
      </c>
      <c r="K93" s="29" t="str">
        <f t="shared" si="32"/>
        <v/>
      </c>
      <c r="L93" s="29" t="str">
        <f>IF(AR93="","",IF(AA93='Instructions &amp; Reference'!$C$11,Scores!AR93,""))</f>
        <v/>
      </c>
      <c r="M93" s="28" t="str">
        <f t="shared" si="33"/>
        <v/>
      </c>
      <c r="N93" s="28" t="str">
        <f>IF(AR93="","",IF(AA93='Instructions &amp; Reference'!$C$12,Scores!AR93,""))</f>
        <v/>
      </c>
      <c r="O93" s="29" t="str">
        <f t="shared" si="34"/>
        <v/>
      </c>
      <c r="P93" s="29" t="str">
        <f>IF(AR93="","",IF(AA93='Instructions &amp; Reference'!$C$13,Scores!AR93,""))</f>
        <v/>
      </c>
      <c r="Q93" s="28" t="str">
        <f t="shared" si="35"/>
        <v/>
      </c>
      <c r="R93" s="28" t="str">
        <f>IF(AR93="","",IF(AA93='Instructions &amp; Reference'!$C$14,Scores!AR93,""))</f>
        <v/>
      </c>
      <c r="S93" s="29" t="str">
        <f t="shared" si="36"/>
        <v/>
      </c>
      <c r="T93" s="29" t="str">
        <f>IF(AR93="","",IF(AA93='Instructions &amp; Reference'!$C$15,Scores!AR93,""))</f>
        <v/>
      </c>
      <c r="U93" s="28" t="str">
        <f t="shared" si="37"/>
        <v/>
      </c>
      <c r="V93" s="28" t="str">
        <f>IF(AR93="","",IF(AA93='Instructions &amp; Reference'!$C$16,Scores!AR93,""))</f>
        <v/>
      </c>
      <c r="W93" s="29" t="str">
        <f t="shared" si="38"/>
        <v/>
      </c>
      <c r="X93" s="30" t="str">
        <f>IF(AR93="","",IF(AA93='Instructions &amp; Reference'!$C$17,Scores!AR93,""))</f>
        <v/>
      </c>
      <c r="Z93" s="32" t="str">
        <f>IF('Teams &amp; HM'!A146="","",'Teams &amp; HM'!A146)</f>
        <v/>
      </c>
      <c r="AA93" s="126" t="str">
        <f>IF('Teams &amp; HM'!H148="","",'Teams &amp; HM'!H148)</f>
        <v/>
      </c>
      <c r="AB93" s="126" t="str">
        <f>IF('Teams &amp; HM'!A148="","",'Teams &amp; HM'!A148)</f>
        <v/>
      </c>
      <c r="AC93" s="126" t="str">
        <f>IF('Teams &amp; HM'!B148="","",'Teams &amp; HM'!B148)</f>
        <v/>
      </c>
      <c r="AE93" s="126" t="str">
        <f>IF(Ride!V93="","",Ride!X93)</f>
        <v/>
      </c>
      <c r="AF93" s="126" t="str">
        <f>IF(Run!L93="","",Run!L93)</f>
        <v/>
      </c>
      <c r="AG93" s="126" t="str">
        <f>IF(Shoot!J93="","",Shoot!J93)</f>
        <v/>
      </c>
      <c r="AH93" s="126" t="str">
        <f>IF(Swim!K93="","",Swim!K93)</f>
        <v/>
      </c>
      <c r="AI93" s="126" t="str">
        <f t="shared" si="39"/>
        <v/>
      </c>
      <c r="AK93" s="7"/>
      <c r="AL93" s="58" t="str">
        <f t="shared" si="26"/>
        <v/>
      </c>
      <c r="AN93" s="127" t="str">
        <f>IF('Teams &amp; HM'!Q148="","",'Teams &amp; HM'!Q148)</f>
        <v/>
      </c>
      <c r="AO93" s="127" t="str">
        <f>IF('Teams &amp; HM'!R148="","",'Teams &amp; HM'!R148)</f>
        <v/>
      </c>
      <c r="AP93" s="128">
        <f>IF('Teams &amp; HM'!T148="","",'Teams &amp; HM'!T148)</f>
        <v>0</v>
      </c>
      <c r="AR93" s="59" t="str">
        <f t="shared" si="27"/>
        <v/>
      </c>
      <c r="AT93" s="131"/>
      <c r="AU93" s="120" t="str">
        <f>IF(AC93="","",SUM(Ride!Y93+Run!M93+Shoot!K93+Swim!L93+AP93+AT93))</f>
        <v/>
      </c>
    </row>
    <row r="94" spans="1:47" x14ac:dyDescent="0.25">
      <c r="A94" s="28" t="str">
        <f t="shared" si="28"/>
        <v/>
      </c>
      <c r="B94" s="28" t="str">
        <f>IF(AR94="","",IF(AA94='Instructions &amp; Reference'!$C$6,Scores!AR94,""))</f>
        <v/>
      </c>
      <c r="C94" s="29" t="str">
        <f>IF(D94="","",RANK(D94,$D$3:$D173,0))</f>
        <v/>
      </c>
      <c r="D94" s="29" t="str">
        <f>IF(AR94="","",IF(AA94='Instructions &amp; Reference'!$C$7,Scores!AR94,""))</f>
        <v/>
      </c>
      <c r="E94" s="28" t="str">
        <f t="shared" si="29"/>
        <v/>
      </c>
      <c r="F94" s="28" t="str">
        <f>IF(AR94="","",IF(AA94='Instructions &amp; Reference'!$C$8,Scores!AR94,""))</f>
        <v/>
      </c>
      <c r="G94" s="29" t="str">
        <f t="shared" si="30"/>
        <v/>
      </c>
      <c r="H94" s="29" t="str">
        <f>IF(AR94="","",IF(AA94='Instructions &amp; Reference'!$C$9,Scores!AR94,""))</f>
        <v/>
      </c>
      <c r="I94" s="28" t="str">
        <f t="shared" si="31"/>
        <v/>
      </c>
      <c r="J94" s="28" t="str">
        <f>IF(AR94="","",IF(AA94='Instructions &amp; Reference'!$C$10,Scores!AR94,""))</f>
        <v/>
      </c>
      <c r="K94" s="29" t="str">
        <f t="shared" si="32"/>
        <v/>
      </c>
      <c r="L94" s="29" t="str">
        <f>IF(AR94="","",IF(AA94='Instructions &amp; Reference'!$C$11,Scores!AR94,""))</f>
        <v/>
      </c>
      <c r="M94" s="28" t="str">
        <f t="shared" si="33"/>
        <v/>
      </c>
      <c r="N94" s="28" t="str">
        <f>IF(AR94="","",IF(AA94='Instructions &amp; Reference'!$C$12,Scores!AR94,""))</f>
        <v/>
      </c>
      <c r="O94" s="29" t="str">
        <f t="shared" si="34"/>
        <v/>
      </c>
      <c r="P94" s="29" t="str">
        <f>IF(AR94="","",IF(AA94='Instructions &amp; Reference'!$C$13,Scores!AR94,""))</f>
        <v/>
      </c>
      <c r="Q94" s="28" t="str">
        <f t="shared" si="35"/>
        <v/>
      </c>
      <c r="R94" s="28" t="str">
        <f>IF(AR94="","",IF(AA94='Instructions &amp; Reference'!$C$14,Scores!AR94,""))</f>
        <v/>
      </c>
      <c r="S94" s="29" t="str">
        <f t="shared" si="36"/>
        <v/>
      </c>
      <c r="T94" s="29" t="str">
        <f>IF(AR94="","",IF(AA94='Instructions &amp; Reference'!$C$15,Scores!AR94,""))</f>
        <v/>
      </c>
      <c r="U94" s="28" t="str">
        <f t="shared" si="37"/>
        <v/>
      </c>
      <c r="V94" s="28" t="str">
        <f>IF(AR94="","",IF(AA94='Instructions &amp; Reference'!$C$16,Scores!AR94,""))</f>
        <v/>
      </c>
      <c r="W94" s="29" t="str">
        <f t="shared" si="38"/>
        <v/>
      </c>
      <c r="X94" s="30" t="str">
        <f>IF(AR94="","",IF(AA94='Instructions &amp; Reference'!$C$17,Scores!AR94,""))</f>
        <v/>
      </c>
      <c r="Z94" s="32" t="str">
        <f>IF('Teams &amp; HM'!A146="","",'Teams &amp; HM'!A146)</f>
        <v/>
      </c>
      <c r="AA94" s="126" t="str">
        <f>IF('Teams &amp; HM'!H149="","",'Teams &amp; HM'!H149)</f>
        <v/>
      </c>
      <c r="AB94" s="126" t="str">
        <f>IF('Teams &amp; HM'!A149="","",'Teams &amp; HM'!A149)</f>
        <v/>
      </c>
      <c r="AC94" s="126" t="str">
        <f>IF('Teams &amp; HM'!B149="","",'Teams &amp; HM'!B149)</f>
        <v/>
      </c>
      <c r="AE94" s="126" t="str">
        <f>IF(Ride!V94="","",Ride!X94)</f>
        <v/>
      </c>
      <c r="AF94" s="126" t="str">
        <f>IF(Run!L94="","",Run!L94)</f>
        <v/>
      </c>
      <c r="AG94" s="126" t="str">
        <f>IF(Shoot!J94="","",Shoot!J94)</f>
        <v/>
      </c>
      <c r="AH94" s="126" t="str">
        <f>IF(Swim!K94="","",Swim!K94)</f>
        <v/>
      </c>
      <c r="AI94" s="126" t="str">
        <f t="shared" si="39"/>
        <v/>
      </c>
      <c r="AK94" s="7"/>
      <c r="AL94" s="58" t="str">
        <f t="shared" si="26"/>
        <v/>
      </c>
      <c r="AN94" s="127" t="str">
        <f>IF('Teams &amp; HM'!Q149="","",'Teams &amp; HM'!Q149)</f>
        <v/>
      </c>
      <c r="AO94" s="127" t="str">
        <f>IF('Teams &amp; HM'!R149="","",'Teams &amp; HM'!R149)</f>
        <v/>
      </c>
      <c r="AP94" s="129"/>
      <c r="AR94" s="59" t="str">
        <f t="shared" si="27"/>
        <v/>
      </c>
      <c r="AT94" s="132"/>
      <c r="AU94" s="121"/>
    </row>
    <row r="95" spans="1:47" x14ac:dyDescent="0.25">
      <c r="A95" s="28" t="str">
        <f t="shared" si="28"/>
        <v/>
      </c>
      <c r="B95" s="28" t="str">
        <f>IF(AR95="","",IF(AA95='Instructions &amp; Reference'!$C$6,Scores!AR95,""))</f>
        <v/>
      </c>
      <c r="C95" s="29" t="str">
        <f>IF(D95="","",RANK(D95,$D$3:$D174,0))</f>
        <v/>
      </c>
      <c r="D95" s="29" t="str">
        <f>IF(AR95="","",IF(AA95='Instructions &amp; Reference'!$C$7,Scores!AR95,""))</f>
        <v/>
      </c>
      <c r="E95" s="28" t="str">
        <f t="shared" si="29"/>
        <v/>
      </c>
      <c r="F95" s="28" t="str">
        <f>IF(AR95="","",IF(AA95='Instructions &amp; Reference'!$C$8,Scores!AR95,""))</f>
        <v/>
      </c>
      <c r="G95" s="29" t="str">
        <f t="shared" si="30"/>
        <v/>
      </c>
      <c r="H95" s="29" t="str">
        <f>IF(AR95="","",IF(AA95='Instructions &amp; Reference'!$C$9,Scores!AR95,""))</f>
        <v/>
      </c>
      <c r="I95" s="28" t="str">
        <f t="shared" si="31"/>
        <v/>
      </c>
      <c r="J95" s="28" t="str">
        <f>IF(AR95="","",IF(AA95='Instructions &amp; Reference'!$C$10,Scores!AR95,""))</f>
        <v/>
      </c>
      <c r="K95" s="29" t="str">
        <f t="shared" si="32"/>
        <v/>
      </c>
      <c r="L95" s="29" t="str">
        <f>IF(AR95="","",IF(AA95='Instructions &amp; Reference'!$C$11,Scores!AR95,""))</f>
        <v/>
      </c>
      <c r="M95" s="28" t="str">
        <f t="shared" si="33"/>
        <v/>
      </c>
      <c r="N95" s="28" t="str">
        <f>IF(AR95="","",IF(AA95='Instructions &amp; Reference'!$C$12,Scores!AR95,""))</f>
        <v/>
      </c>
      <c r="O95" s="29" t="str">
        <f t="shared" si="34"/>
        <v/>
      </c>
      <c r="P95" s="29" t="str">
        <f>IF(AR95="","",IF(AA95='Instructions &amp; Reference'!$C$13,Scores!AR95,""))</f>
        <v/>
      </c>
      <c r="Q95" s="28" t="str">
        <f t="shared" si="35"/>
        <v/>
      </c>
      <c r="R95" s="28" t="str">
        <f>IF(AR95="","",IF(AA95='Instructions &amp; Reference'!$C$14,Scores!AR95,""))</f>
        <v/>
      </c>
      <c r="S95" s="29" t="str">
        <f t="shared" si="36"/>
        <v/>
      </c>
      <c r="T95" s="29" t="str">
        <f>IF(AR95="","",IF(AA95='Instructions &amp; Reference'!$C$15,Scores!AR95,""))</f>
        <v/>
      </c>
      <c r="U95" s="28" t="str">
        <f t="shared" si="37"/>
        <v/>
      </c>
      <c r="V95" s="28" t="str">
        <f>IF(AR95="","",IF(AA95='Instructions &amp; Reference'!$C$16,Scores!AR95,""))</f>
        <v/>
      </c>
      <c r="W95" s="29" t="str">
        <f t="shared" si="38"/>
        <v/>
      </c>
      <c r="X95" s="30" t="str">
        <f>IF(AR95="","",IF(AA95='Instructions &amp; Reference'!$C$17,Scores!AR95,""))</f>
        <v/>
      </c>
      <c r="Z95" s="32" t="str">
        <f>IF('Teams &amp; HM'!A146="","",'Teams &amp; HM'!A146)</f>
        <v/>
      </c>
      <c r="AA95" s="126" t="str">
        <f>IF('Teams &amp; HM'!H150="","",'Teams &amp; HM'!H150)</f>
        <v/>
      </c>
      <c r="AB95" s="126" t="str">
        <f>IF('Teams &amp; HM'!A150="","",'Teams &amp; HM'!A150)</f>
        <v/>
      </c>
      <c r="AC95" s="126" t="str">
        <f>IF('Teams &amp; HM'!B150="","",'Teams &amp; HM'!B150)</f>
        <v/>
      </c>
      <c r="AE95" s="126" t="str">
        <f>IF(Ride!V95="","",Ride!X95)</f>
        <v/>
      </c>
      <c r="AF95" s="126" t="str">
        <f>IF(Run!L95="","",Run!L95)</f>
        <v/>
      </c>
      <c r="AG95" s="126" t="str">
        <f>IF(Shoot!J95="","",Shoot!J95)</f>
        <v/>
      </c>
      <c r="AH95" s="126" t="str">
        <f>IF(Swim!K95="","",Swim!K95)</f>
        <v/>
      </c>
      <c r="AI95" s="126" t="str">
        <f t="shared" si="39"/>
        <v/>
      </c>
      <c r="AK95" s="7"/>
      <c r="AL95" s="58" t="str">
        <f t="shared" si="26"/>
        <v/>
      </c>
      <c r="AN95" s="127" t="str">
        <f>IF('Teams &amp; HM'!Q150="","",'Teams &amp; HM'!Q150)</f>
        <v/>
      </c>
      <c r="AO95" s="127" t="str">
        <f>IF('Teams &amp; HM'!R150="","",'Teams &amp; HM'!R150)</f>
        <v/>
      </c>
      <c r="AP95" s="129"/>
      <c r="AR95" s="59" t="str">
        <f t="shared" si="27"/>
        <v/>
      </c>
      <c r="AT95" s="132"/>
      <c r="AU95" s="121"/>
    </row>
    <row r="96" spans="1:47" x14ac:dyDescent="0.25">
      <c r="A96" s="28" t="str">
        <f t="shared" si="28"/>
        <v/>
      </c>
      <c r="B96" s="28" t="str">
        <f>IF(AR96="","",IF(AA96='Instructions &amp; Reference'!$C$6,Scores!AR96,""))</f>
        <v/>
      </c>
      <c r="C96" s="29" t="str">
        <f>IF(D96="","",RANK(D96,$D$3:$D175,0))</f>
        <v/>
      </c>
      <c r="D96" s="29" t="str">
        <f>IF(AR96="","",IF(AA96='Instructions &amp; Reference'!$C$7,Scores!AR96,""))</f>
        <v/>
      </c>
      <c r="E96" s="28" t="str">
        <f t="shared" si="29"/>
        <v/>
      </c>
      <c r="F96" s="28" t="str">
        <f>IF(AR96="","",IF(AA96='Instructions &amp; Reference'!$C$8,Scores!AR96,""))</f>
        <v/>
      </c>
      <c r="G96" s="29" t="str">
        <f t="shared" si="30"/>
        <v/>
      </c>
      <c r="H96" s="29" t="str">
        <f>IF(AR96="","",IF(AA96='Instructions &amp; Reference'!$C$9,Scores!AR96,""))</f>
        <v/>
      </c>
      <c r="I96" s="28" t="str">
        <f t="shared" si="31"/>
        <v/>
      </c>
      <c r="J96" s="28" t="str">
        <f>IF(AR96="","",IF(AA96='Instructions &amp; Reference'!$C$10,Scores!AR96,""))</f>
        <v/>
      </c>
      <c r="K96" s="29" t="str">
        <f t="shared" si="32"/>
        <v/>
      </c>
      <c r="L96" s="29" t="str">
        <f>IF(AR96="","",IF(AA96='Instructions &amp; Reference'!$C$11,Scores!AR96,""))</f>
        <v/>
      </c>
      <c r="M96" s="28" t="str">
        <f t="shared" si="33"/>
        <v/>
      </c>
      <c r="N96" s="28" t="str">
        <f>IF(AR96="","",IF(AA96='Instructions &amp; Reference'!$C$12,Scores!AR96,""))</f>
        <v/>
      </c>
      <c r="O96" s="29" t="str">
        <f t="shared" si="34"/>
        <v/>
      </c>
      <c r="P96" s="29" t="str">
        <f>IF(AR96="","",IF(AA96='Instructions &amp; Reference'!$C$13,Scores!AR96,""))</f>
        <v/>
      </c>
      <c r="Q96" s="28" t="str">
        <f t="shared" si="35"/>
        <v/>
      </c>
      <c r="R96" s="28" t="str">
        <f>IF(AR96="","",IF(AA96='Instructions &amp; Reference'!$C$14,Scores!AR96,""))</f>
        <v/>
      </c>
      <c r="S96" s="29" t="str">
        <f t="shared" si="36"/>
        <v/>
      </c>
      <c r="T96" s="29" t="str">
        <f>IF(AR96="","",IF(AA96='Instructions &amp; Reference'!$C$15,Scores!AR96,""))</f>
        <v/>
      </c>
      <c r="U96" s="28" t="str">
        <f t="shared" si="37"/>
        <v/>
      </c>
      <c r="V96" s="28" t="str">
        <f>IF(AR96="","",IF(AA96='Instructions &amp; Reference'!$C$16,Scores!AR96,""))</f>
        <v/>
      </c>
      <c r="W96" s="29" t="str">
        <f t="shared" si="38"/>
        <v/>
      </c>
      <c r="X96" s="30" t="str">
        <f>IF(AR96="","",IF(AA96='Instructions &amp; Reference'!$C$17,Scores!AR96,""))</f>
        <v/>
      </c>
      <c r="Z96" s="32" t="str">
        <f>IF('Teams &amp; HM'!A146="","",'Teams &amp; HM'!A146)</f>
        <v/>
      </c>
      <c r="AA96" s="126" t="str">
        <f>IF('Teams &amp; HM'!H151="","",'Teams &amp; HM'!H151)</f>
        <v/>
      </c>
      <c r="AB96" s="126" t="str">
        <f>IF('Teams &amp; HM'!A151="","",'Teams &amp; HM'!A151)</f>
        <v/>
      </c>
      <c r="AC96" s="126" t="str">
        <f>IF('Teams &amp; HM'!B151="","",'Teams &amp; HM'!B151)</f>
        <v/>
      </c>
      <c r="AE96" s="126" t="str">
        <f>IF(Ride!V96="","",Ride!X96)</f>
        <v/>
      </c>
      <c r="AF96" s="126" t="str">
        <f>IF(Run!L96="","",Run!L96)</f>
        <v/>
      </c>
      <c r="AG96" s="126" t="str">
        <f>IF(Shoot!J96="","",Shoot!J96)</f>
        <v/>
      </c>
      <c r="AH96" s="126" t="str">
        <f>IF(Swim!K96="","",Swim!K96)</f>
        <v/>
      </c>
      <c r="AI96" s="126" t="str">
        <f t="shared" si="39"/>
        <v/>
      </c>
      <c r="AK96" s="7"/>
      <c r="AL96" s="58" t="str">
        <f t="shared" si="26"/>
        <v/>
      </c>
      <c r="AN96" s="127" t="str">
        <f>IF('Teams &amp; HM'!Q151="","",'Teams &amp; HM'!Q151)</f>
        <v/>
      </c>
      <c r="AO96" s="127" t="str">
        <f>IF('Teams &amp; HM'!R151="","",'Teams &amp; HM'!R151)</f>
        <v/>
      </c>
      <c r="AP96" s="129"/>
      <c r="AR96" s="59" t="str">
        <f t="shared" si="27"/>
        <v/>
      </c>
      <c r="AT96" s="132"/>
      <c r="AU96" s="121"/>
    </row>
    <row r="97" spans="1:47" x14ac:dyDescent="0.25">
      <c r="A97" s="28" t="str">
        <f t="shared" si="28"/>
        <v/>
      </c>
      <c r="B97" s="28" t="str">
        <f>IF(AR97="","",IF(AA97='Instructions &amp; Reference'!$C$6,Scores!AR97,""))</f>
        <v/>
      </c>
      <c r="C97" s="29" t="str">
        <f>IF(D97="","",RANK(D97,$D$3:$D176,0))</f>
        <v/>
      </c>
      <c r="D97" s="29" t="str">
        <f>IF(AR97="","",IF(AA97='Instructions &amp; Reference'!$C$7,Scores!AR97,""))</f>
        <v/>
      </c>
      <c r="E97" s="28" t="str">
        <f t="shared" si="29"/>
        <v/>
      </c>
      <c r="F97" s="28" t="str">
        <f>IF(AR97="","",IF(AA97='Instructions &amp; Reference'!$C$8,Scores!AR97,""))</f>
        <v/>
      </c>
      <c r="G97" s="29" t="str">
        <f t="shared" si="30"/>
        <v/>
      </c>
      <c r="H97" s="29" t="str">
        <f>IF(AR97="","",IF(AA97='Instructions &amp; Reference'!$C$9,Scores!AR97,""))</f>
        <v/>
      </c>
      <c r="I97" s="28" t="str">
        <f t="shared" si="31"/>
        <v/>
      </c>
      <c r="J97" s="28" t="str">
        <f>IF(AR97="","",IF(AA97='Instructions &amp; Reference'!$C$10,Scores!AR97,""))</f>
        <v/>
      </c>
      <c r="K97" s="29" t="str">
        <f t="shared" si="32"/>
        <v/>
      </c>
      <c r="L97" s="29" t="str">
        <f>IF(AR97="","",IF(AA97='Instructions &amp; Reference'!$C$11,Scores!AR97,""))</f>
        <v/>
      </c>
      <c r="M97" s="28" t="str">
        <f t="shared" si="33"/>
        <v/>
      </c>
      <c r="N97" s="28" t="str">
        <f>IF(AR97="","",IF(AA97='Instructions &amp; Reference'!$C$12,Scores!AR97,""))</f>
        <v/>
      </c>
      <c r="O97" s="29" t="str">
        <f t="shared" si="34"/>
        <v/>
      </c>
      <c r="P97" s="29" t="str">
        <f>IF(AR97="","",IF(AA97='Instructions &amp; Reference'!$C$13,Scores!AR97,""))</f>
        <v/>
      </c>
      <c r="Q97" s="28" t="str">
        <f t="shared" si="35"/>
        <v/>
      </c>
      <c r="R97" s="28" t="str">
        <f>IF(AR97="","",IF(AA97='Instructions &amp; Reference'!$C$14,Scores!AR97,""))</f>
        <v/>
      </c>
      <c r="S97" s="29" t="str">
        <f t="shared" si="36"/>
        <v/>
      </c>
      <c r="T97" s="29" t="str">
        <f>IF(AR97="","",IF(AA97='Instructions &amp; Reference'!$C$15,Scores!AR97,""))</f>
        <v/>
      </c>
      <c r="U97" s="28" t="str">
        <f t="shared" si="37"/>
        <v/>
      </c>
      <c r="V97" s="28" t="str">
        <f>IF(AR97="","",IF(AA97='Instructions &amp; Reference'!$C$16,Scores!AR97,""))</f>
        <v/>
      </c>
      <c r="W97" s="29" t="str">
        <f t="shared" si="38"/>
        <v/>
      </c>
      <c r="X97" s="30" t="str">
        <f>IF(AR97="","",IF(AA97='Instructions &amp; Reference'!$C$17,Scores!AR97,""))</f>
        <v/>
      </c>
      <c r="Z97" s="32" t="str">
        <f>IF('Teams &amp; HM'!A146="","",'Teams &amp; HM'!A146)</f>
        <v/>
      </c>
      <c r="AA97" s="126" t="str">
        <f>IF('Teams &amp; HM'!H152="","",'Teams &amp; HM'!H152)</f>
        <v/>
      </c>
      <c r="AB97" s="126" t="str">
        <f>IF('Teams &amp; HM'!A152="","",'Teams &amp; HM'!A152)</f>
        <v/>
      </c>
      <c r="AC97" s="126" t="str">
        <f>IF('Teams &amp; HM'!B152="","",'Teams &amp; HM'!B152)</f>
        <v/>
      </c>
      <c r="AE97" s="126" t="str">
        <f>IF(Ride!V97="","",Ride!X97)</f>
        <v/>
      </c>
      <c r="AF97" s="126" t="str">
        <f>IF(Run!L97="","",Run!L97)</f>
        <v/>
      </c>
      <c r="AG97" s="126" t="str">
        <f>IF(Shoot!J97="","",Shoot!J97)</f>
        <v/>
      </c>
      <c r="AH97" s="126" t="str">
        <f>IF(Swim!K97="","",Swim!K97)</f>
        <v/>
      </c>
      <c r="AI97" s="126" t="str">
        <f t="shared" si="39"/>
        <v/>
      </c>
      <c r="AK97" s="7"/>
      <c r="AL97" s="58" t="str">
        <f t="shared" si="26"/>
        <v/>
      </c>
      <c r="AN97" s="127" t="str">
        <f>IF('Teams &amp; HM'!Q152="","",'Teams &amp; HM'!Q152)</f>
        <v/>
      </c>
      <c r="AO97" s="127" t="str">
        <f>IF('Teams &amp; HM'!R152="","",'Teams &amp; HM'!R152)</f>
        <v/>
      </c>
      <c r="AP97" s="130"/>
      <c r="AR97" s="59" t="str">
        <f t="shared" si="27"/>
        <v/>
      </c>
      <c r="AT97" s="133"/>
      <c r="AU97" s="122"/>
    </row>
    <row r="98" spans="1:47" x14ac:dyDescent="0.25">
      <c r="A98" s="28" t="str">
        <f t="shared" si="28"/>
        <v/>
      </c>
      <c r="B98" s="28" t="str">
        <f>IF(AR98="","",IF(AA98='Instructions &amp; Reference'!$C$6,Scores!AR98,""))</f>
        <v/>
      </c>
      <c r="C98" s="29" t="str">
        <f>IF(D98="","",RANK(D98,$D$3:$D177,0))</f>
        <v/>
      </c>
      <c r="D98" s="29" t="str">
        <f>IF(AR98="","",IF(AA98='Instructions &amp; Reference'!$C$7,Scores!AR98,""))</f>
        <v/>
      </c>
      <c r="E98" s="28" t="str">
        <f t="shared" si="29"/>
        <v/>
      </c>
      <c r="F98" s="28" t="str">
        <f>IF(AR98="","",IF(AA98='Instructions &amp; Reference'!$C$8,Scores!AR98,""))</f>
        <v/>
      </c>
      <c r="G98" s="29" t="str">
        <f t="shared" si="30"/>
        <v/>
      </c>
      <c r="H98" s="29" t="str">
        <f>IF(AR98="","",IF(AA98='Instructions &amp; Reference'!$C$9,Scores!AR98,""))</f>
        <v/>
      </c>
      <c r="I98" s="28" t="str">
        <f t="shared" si="31"/>
        <v/>
      </c>
      <c r="J98" s="28" t="str">
        <f>IF(AR98="","",IF(AA98='Instructions &amp; Reference'!$C$10,Scores!AR98,""))</f>
        <v/>
      </c>
      <c r="K98" s="29" t="str">
        <f t="shared" si="32"/>
        <v/>
      </c>
      <c r="L98" s="29" t="str">
        <f>IF(AR98="","",IF(AA98='Instructions &amp; Reference'!$C$11,Scores!AR98,""))</f>
        <v/>
      </c>
      <c r="M98" s="28" t="str">
        <f t="shared" si="33"/>
        <v/>
      </c>
      <c r="N98" s="28" t="str">
        <f>IF(AR98="","",IF(AA98='Instructions &amp; Reference'!$C$12,Scores!AR98,""))</f>
        <v/>
      </c>
      <c r="O98" s="29" t="str">
        <f t="shared" si="34"/>
        <v/>
      </c>
      <c r="P98" s="29" t="str">
        <f>IF(AR98="","",IF(AA98='Instructions &amp; Reference'!$C$13,Scores!AR98,""))</f>
        <v/>
      </c>
      <c r="Q98" s="28" t="str">
        <f t="shared" si="35"/>
        <v/>
      </c>
      <c r="R98" s="28" t="str">
        <f>IF(AR98="","",IF(AA98='Instructions &amp; Reference'!$C$14,Scores!AR98,""))</f>
        <v/>
      </c>
      <c r="S98" s="29" t="str">
        <f t="shared" si="36"/>
        <v/>
      </c>
      <c r="T98" s="29" t="str">
        <f>IF(AR98="","",IF(AA98='Instructions &amp; Reference'!$C$15,Scores!AR98,""))</f>
        <v/>
      </c>
      <c r="U98" s="28" t="str">
        <f t="shared" si="37"/>
        <v/>
      </c>
      <c r="V98" s="28" t="str">
        <f>IF(AR98="","",IF(AA98='Instructions &amp; Reference'!$C$16,Scores!AR98,""))</f>
        <v/>
      </c>
      <c r="W98" s="29" t="str">
        <f t="shared" si="38"/>
        <v/>
      </c>
      <c r="X98" s="30" t="str">
        <f>IF(AR98="","",IF(AA98='Instructions &amp; Reference'!$C$17,Scores!AR98,""))</f>
        <v/>
      </c>
      <c r="Z98" s="32" t="str">
        <f>IF('Teams &amp; HM'!A154="","",'Teams &amp; HM'!A154)</f>
        <v/>
      </c>
      <c r="AA98" s="126" t="str">
        <f>IF('Teams &amp; HM'!H156="","",'Teams &amp; HM'!H156)</f>
        <v/>
      </c>
      <c r="AB98" s="126" t="str">
        <f>IF('Teams &amp; HM'!A156="","",'Teams &amp; HM'!A156)</f>
        <v/>
      </c>
      <c r="AC98" s="126" t="str">
        <f>IF('Teams &amp; HM'!B156="","",'Teams &amp; HM'!B156)</f>
        <v/>
      </c>
      <c r="AE98" s="126" t="str">
        <f>IF(Ride!V98="","",Ride!X98)</f>
        <v/>
      </c>
      <c r="AF98" s="126" t="str">
        <f>IF(Run!L98="","",Run!L98)</f>
        <v/>
      </c>
      <c r="AG98" s="126" t="str">
        <f>IF(Shoot!J98="","",Shoot!J98)</f>
        <v/>
      </c>
      <c r="AH98" s="126" t="str">
        <f>IF(Swim!K98="","",Swim!K98)</f>
        <v/>
      </c>
      <c r="AI98" s="126" t="str">
        <f t="shared" si="39"/>
        <v/>
      </c>
      <c r="AK98" s="7"/>
      <c r="AL98" s="58" t="str">
        <f t="shared" si="26"/>
        <v/>
      </c>
      <c r="AN98" s="127" t="str">
        <f>IF('Teams &amp; HM'!Q156="","",'Teams &amp; HM'!Q156)</f>
        <v/>
      </c>
      <c r="AO98" s="127" t="str">
        <f>IF('Teams &amp; HM'!R156="","",'Teams &amp; HM'!R156)</f>
        <v/>
      </c>
      <c r="AP98" s="128">
        <f>IF('Teams &amp; HM'!T156="","",'Teams &amp; HM'!T156)</f>
        <v>0</v>
      </c>
      <c r="AR98" s="59" t="str">
        <f t="shared" si="27"/>
        <v/>
      </c>
      <c r="AT98" s="131"/>
      <c r="AU98" s="120" t="str">
        <f>IF(AC98="","",SUM(Ride!Y98+Run!M98+Shoot!K98+Swim!L98+AP98+AT98))</f>
        <v/>
      </c>
    </row>
    <row r="99" spans="1:47" x14ac:dyDescent="0.25">
      <c r="A99" s="28" t="str">
        <f t="shared" si="28"/>
        <v/>
      </c>
      <c r="B99" s="28" t="str">
        <f>IF(AR99="","",IF(AA99='Instructions &amp; Reference'!$C$6,Scores!AR99,""))</f>
        <v/>
      </c>
      <c r="C99" s="29" t="str">
        <f>IF(D99="","",RANK(D99,$D$3:$D178,0))</f>
        <v/>
      </c>
      <c r="D99" s="29" t="str">
        <f>IF(AR99="","",IF(AA99='Instructions &amp; Reference'!$C$7,Scores!AR99,""))</f>
        <v/>
      </c>
      <c r="E99" s="28" t="str">
        <f t="shared" si="29"/>
        <v/>
      </c>
      <c r="F99" s="28" t="str">
        <f>IF(AR99="","",IF(AA99='Instructions &amp; Reference'!$C$8,Scores!AR99,""))</f>
        <v/>
      </c>
      <c r="G99" s="29" t="str">
        <f t="shared" si="30"/>
        <v/>
      </c>
      <c r="H99" s="29" t="str">
        <f>IF(AR99="","",IF(AA99='Instructions &amp; Reference'!$C$9,Scores!AR99,""))</f>
        <v/>
      </c>
      <c r="I99" s="28" t="str">
        <f t="shared" si="31"/>
        <v/>
      </c>
      <c r="J99" s="28" t="str">
        <f>IF(AR99="","",IF(AA99='Instructions &amp; Reference'!$C$10,Scores!AR99,""))</f>
        <v/>
      </c>
      <c r="K99" s="29" t="str">
        <f t="shared" si="32"/>
        <v/>
      </c>
      <c r="L99" s="29" t="str">
        <f>IF(AR99="","",IF(AA99='Instructions &amp; Reference'!$C$11,Scores!AR99,""))</f>
        <v/>
      </c>
      <c r="M99" s="28" t="str">
        <f t="shared" si="33"/>
        <v/>
      </c>
      <c r="N99" s="28" t="str">
        <f>IF(AR99="","",IF(AA99='Instructions &amp; Reference'!$C$12,Scores!AR99,""))</f>
        <v/>
      </c>
      <c r="O99" s="29" t="str">
        <f t="shared" si="34"/>
        <v/>
      </c>
      <c r="P99" s="29" t="str">
        <f>IF(AR99="","",IF(AA99='Instructions &amp; Reference'!$C$13,Scores!AR99,""))</f>
        <v/>
      </c>
      <c r="Q99" s="28" t="str">
        <f t="shared" si="35"/>
        <v/>
      </c>
      <c r="R99" s="28" t="str">
        <f>IF(AR99="","",IF(AA99='Instructions &amp; Reference'!$C$14,Scores!AR99,""))</f>
        <v/>
      </c>
      <c r="S99" s="29" t="str">
        <f t="shared" si="36"/>
        <v/>
      </c>
      <c r="T99" s="29" t="str">
        <f>IF(AR99="","",IF(AA99='Instructions &amp; Reference'!$C$15,Scores!AR99,""))</f>
        <v/>
      </c>
      <c r="U99" s="28" t="str">
        <f t="shared" si="37"/>
        <v/>
      </c>
      <c r="V99" s="28" t="str">
        <f>IF(AR99="","",IF(AA99='Instructions &amp; Reference'!$C$16,Scores!AR99,""))</f>
        <v/>
      </c>
      <c r="W99" s="29" t="str">
        <f t="shared" si="38"/>
        <v/>
      </c>
      <c r="X99" s="30" t="str">
        <f>IF(AR99="","",IF(AA99='Instructions &amp; Reference'!$C$17,Scores!AR99,""))</f>
        <v/>
      </c>
      <c r="Z99" s="32" t="str">
        <f>IF('Teams &amp; HM'!A154="","",'Teams &amp; HM'!A154)</f>
        <v/>
      </c>
      <c r="AA99" s="126" t="str">
        <f>IF('Teams &amp; HM'!H157="","",'Teams &amp; HM'!H157)</f>
        <v/>
      </c>
      <c r="AB99" s="126" t="str">
        <f>IF('Teams &amp; HM'!A157="","",'Teams &amp; HM'!A157)</f>
        <v/>
      </c>
      <c r="AC99" s="126" t="str">
        <f>IF('Teams &amp; HM'!B157="","",'Teams &amp; HM'!B157)</f>
        <v/>
      </c>
      <c r="AE99" s="126" t="str">
        <f>IF(Ride!V99="","",Ride!X99)</f>
        <v/>
      </c>
      <c r="AF99" s="126" t="str">
        <f>IF(Run!L99="","",Run!L99)</f>
        <v/>
      </c>
      <c r="AG99" s="126" t="str">
        <f>IF(Shoot!J99="","",Shoot!J99)</f>
        <v/>
      </c>
      <c r="AH99" s="126" t="str">
        <f>IF(Swim!K99="","",Swim!K99)</f>
        <v/>
      </c>
      <c r="AI99" s="126" t="str">
        <f t="shared" si="39"/>
        <v/>
      </c>
      <c r="AK99" s="7"/>
      <c r="AL99" s="58" t="str">
        <f t="shared" si="26"/>
        <v/>
      </c>
      <c r="AN99" s="127" t="str">
        <f>IF('Teams &amp; HM'!Q157="","",'Teams &amp; HM'!Q157)</f>
        <v/>
      </c>
      <c r="AO99" s="127" t="str">
        <f>IF('Teams &amp; HM'!R157="","",'Teams &amp; HM'!R157)</f>
        <v/>
      </c>
      <c r="AP99" s="129"/>
      <c r="AR99" s="59" t="str">
        <f t="shared" si="27"/>
        <v/>
      </c>
      <c r="AT99" s="132"/>
      <c r="AU99" s="121"/>
    </row>
    <row r="100" spans="1:47" x14ac:dyDescent="0.25">
      <c r="A100" s="28" t="str">
        <f t="shared" si="28"/>
        <v/>
      </c>
      <c r="B100" s="28" t="str">
        <f>IF(AR100="","",IF(AA100='Instructions &amp; Reference'!$C$6,Scores!AR100,""))</f>
        <v/>
      </c>
      <c r="C100" s="29" t="str">
        <f>IF(D100="","",RANK(D100,$D$3:$D179,0))</f>
        <v/>
      </c>
      <c r="D100" s="29" t="str">
        <f>IF(AR100="","",IF(AA100='Instructions &amp; Reference'!$C$7,Scores!AR100,""))</f>
        <v/>
      </c>
      <c r="E100" s="28" t="str">
        <f t="shared" si="29"/>
        <v/>
      </c>
      <c r="F100" s="28" t="str">
        <f>IF(AR100="","",IF(AA100='Instructions &amp; Reference'!$C$8,Scores!AR100,""))</f>
        <v/>
      </c>
      <c r="G100" s="29" t="str">
        <f t="shared" si="30"/>
        <v/>
      </c>
      <c r="H100" s="29" t="str">
        <f>IF(AR100="","",IF(AA100='Instructions &amp; Reference'!$C$9,Scores!AR100,""))</f>
        <v/>
      </c>
      <c r="I100" s="28" t="str">
        <f t="shared" si="31"/>
        <v/>
      </c>
      <c r="J100" s="28" t="str">
        <f>IF(AR100="","",IF(AA100='Instructions &amp; Reference'!$C$10,Scores!AR100,""))</f>
        <v/>
      </c>
      <c r="K100" s="29" t="str">
        <f t="shared" si="32"/>
        <v/>
      </c>
      <c r="L100" s="29" t="str">
        <f>IF(AR100="","",IF(AA100='Instructions &amp; Reference'!$C$11,Scores!AR100,""))</f>
        <v/>
      </c>
      <c r="M100" s="28" t="str">
        <f t="shared" si="33"/>
        <v/>
      </c>
      <c r="N100" s="28" t="str">
        <f>IF(AR100="","",IF(AA100='Instructions &amp; Reference'!$C$12,Scores!AR100,""))</f>
        <v/>
      </c>
      <c r="O100" s="29" t="str">
        <f t="shared" si="34"/>
        <v/>
      </c>
      <c r="P100" s="29" t="str">
        <f>IF(AR100="","",IF(AA100='Instructions &amp; Reference'!$C$13,Scores!AR100,""))</f>
        <v/>
      </c>
      <c r="Q100" s="28" t="str">
        <f t="shared" si="35"/>
        <v/>
      </c>
      <c r="R100" s="28" t="str">
        <f>IF(AR100="","",IF(AA100='Instructions &amp; Reference'!$C$14,Scores!AR100,""))</f>
        <v/>
      </c>
      <c r="S100" s="29" t="str">
        <f t="shared" si="36"/>
        <v/>
      </c>
      <c r="T100" s="29" t="str">
        <f>IF(AR100="","",IF(AA100='Instructions &amp; Reference'!$C$15,Scores!AR100,""))</f>
        <v/>
      </c>
      <c r="U100" s="28" t="str">
        <f t="shared" si="37"/>
        <v/>
      </c>
      <c r="V100" s="28" t="str">
        <f>IF(AR100="","",IF(AA100='Instructions &amp; Reference'!$C$16,Scores!AR100,""))</f>
        <v/>
      </c>
      <c r="W100" s="29" t="str">
        <f t="shared" si="38"/>
        <v/>
      </c>
      <c r="X100" s="30" t="str">
        <f>IF(AR100="","",IF(AA100='Instructions &amp; Reference'!$C$17,Scores!AR100,""))</f>
        <v/>
      </c>
      <c r="Z100" s="32" t="str">
        <f>IF('Teams &amp; HM'!A154="","",'Teams &amp; HM'!A154)</f>
        <v/>
      </c>
      <c r="AA100" s="126" t="str">
        <f>IF('Teams &amp; HM'!H158="","",'Teams &amp; HM'!H158)</f>
        <v/>
      </c>
      <c r="AB100" s="126" t="str">
        <f>IF('Teams &amp; HM'!A158="","",'Teams &amp; HM'!A158)</f>
        <v/>
      </c>
      <c r="AC100" s="126" t="str">
        <f>IF('Teams &amp; HM'!B158="","",'Teams &amp; HM'!B158)</f>
        <v/>
      </c>
      <c r="AE100" s="126" t="str">
        <f>IF(Ride!V100="","",Ride!X100)</f>
        <v/>
      </c>
      <c r="AF100" s="126" t="str">
        <f>IF(Run!L100="","",Run!L100)</f>
        <v/>
      </c>
      <c r="AG100" s="126" t="str">
        <f>IF(Shoot!J100="","",Shoot!J100)</f>
        <v/>
      </c>
      <c r="AH100" s="126" t="str">
        <f>IF(Swim!K100="","",Swim!K100)</f>
        <v/>
      </c>
      <c r="AI100" s="126" t="str">
        <f t="shared" si="39"/>
        <v/>
      </c>
      <c r="AK100" s="7"/>
      <c r="AL100" s="58" t="str">
        <f t="shared" si="26"/>
        <v/>
      </c>
      <c r="AN100" s="127" t="str">
        <f>IF('Teams &amp; HM'!Q158="","",'Teams &amp; HM'!Q158)</f>
        <v/>
      </c>
      <c r="AO100" s="127" t="str">
        <f>IF('Teams &amp; HM'!R158="","",'Teams &amp; HM'!R158)</f>
        <v/>
      </c>
      <c r="AP100" s="129"/>
      <c r="AR100" s="59" t="str">
        <f t="shared" si="27"/>
        <v/>
      </c>
      <c r="AT100" s="132"/>
      <c r="AU100" s="121"/>
    </row>
    <row r="101" spans="1:47" x14ac:dyDescent="0.25">
      <c r="A101" s="28" t="str">
        <f t="shared" si="28"/>
        <v/>
      </c>
      <c r="B101" s="28" t="str">
        <f>IF(AR101="","",IF(AA101='Instructions &amp; Reference'!$C$6,Scores!AR101,""))</f>
        <v/>
      </c>
      <c r="C101" s="29" t="str">
        <f>IF(D101="","",RANK(D101,$D$3:$D180,0))</f>
        <v/>
      </c>
      <c r="D101" s="29" t="str">
        <f>IF(AR101="","",IF(AA101='Instructions &amp; Reference'!$C$7,Scores!AR101,""))</f>
        <v/>
      </c>
      <c r="E101" s="28" t="str">
        <f t="shared" si="29"/>
        <v/>
      </c>
      <c r="F101" s="28" t="str">
        <f>IF(AR101="","",IF(AA101='Instructions &amp; Reference'!$C$8,Scores!AR101,""))</f>
        <v/>
      </c>
      <c r="G101" s="29" t="str">
        <f t="shared" si="30"/>
        <v/>
      </c>
      <c r="H101" s="29" t="str">
        <f>IF(AR101="","",IF(AA101='Instructions &amp; Reference'!$C$9,Scores!AR101,""))</f>
        <v/>
      </c>
      <c r="I101" s="28" t="str">
        <f t="shared" si="31"/>
        <v/>
      </c>
      <c r="J101" s="28" t="str">
        <f>IF(AR101="","",IF(AA101='Instructions &amp; Reference'!$C$10,Scores!AR101,""))</f>
        <v/>
      </c>
      <c r="K101" s="29" t="str">
        <f t="shared" si="32"/>
        <v/>
      </c>
      <c r="L101" s="29" t="str">
        <f>IF(AR101="","",IF(AA101='Instructions &amp; Reference'!$C$11,Scores!AR101,""))</f>
        <v/>
      </c>
      <c r="M101" s="28" t="str">
        <f t="shared" si="33"/>
        <v/>
      </c>
      <c r="N101" s="28" t="str">
        <f>IF(AR101="","",IF(AA101='Instructions &amp; Reference'!$C$12,Scores!AR101,""))</f>
        <v/>
      </c>
      <c r="O101" s="29" t="str">
        <f t="shared" si="34"/>
        <v/>
      </c>
      <c r="P101" s="29" t="str">
        <f>IF(AR101="","",IF(AA101='Instructions &amp; Reference'!$C$13,Scores!AR101,""))</f>
        <v/>
      </c>
      <c r="Q101" s="28" t="str">
        <f t="shared" si="35"/>
        <v/>
      </c>
      <c r="R101" s="28" t="str">
        <f>IF(AR101="","",IF(AA101='Instructions &amp; Reference'!$C$14,Scores!AR101,""))</f>
        <v/>
      </c>
      <c r="S101" s="29" t="str">
        <f t="shared" si="36"/>
        <v/>
      </c>
      <c r="T101" s="29" t="str">
        <f>IF(AR101="","",IF(AA101='Instructions &amp; Reference'!$C$15,Scores!AR101,""))</f>
        <v/>
      </c>
      <c r="U101" s="28" t="str">
        <f t="shared" si="37"/>
        <v/>
      </c>
      <c r="V101" s="28" t="str">
        <f>IF(AR101="","",IF(AA101='Instructions &amp; Reference'!$C$16,Scores!AR101,""))</f>
        <v/>
      </c>
      <c r="W101" s="29" t="str">
        <f t="shared" si="38"/>
        <v/>
      </c>
      <c r="X101" s="30" t="str">
        <f>IF(AR101="","",IF(AA101='Instructions &amp; Reference'!$C$17,Scores!AR101,""))</f>
        <v/>
      </c>
      <c r="Z101" s="32" t="str">
        <f>IF('Teams &amp; HM'!A154="","",'Teams &amp; HM'!A154)</f>
        <v/>
      </c>
      <c r="AA101" s="126" t="str">
        <f>IF('Teams &amp; HM'!H159="","",'Teams &amp; HM'!H159)</f>
        <v/>
      </c>
      <c r="AB101" s="126" t="str">
        <f>IF('Teams &amp; HM'!A159="","",'Teams &amp; HM'!A159)</f>
        <v/>
      </c>
      <c r="AC101" s="126" t="str">
        <f>IF('Teams &amp; HM'!B159="","",'Teams &amp; HM'!B159)</f>
        <v/>
      </c>
      <c r="AE101" s="126" t="str">
        <f>IF(Ride!V101="","",Ride!X101)</f>
        <v/>
      </c>
      <c r="AF101" s="126" t="str">
        <f>IF(Run!L101="","",Run!L101)</f>
        <v/>
      </c>
      <c r="AG101" s="126" t="str">
        <f>IF(Shoot!J101="","",Shoot!J101)</f>
        <v/>
      </c>
      <c r="AH101" s="126" t="str">
        <f>IF(Swim!K101="","",Swim!K101)</f>
        <v/>
      </c>
      <c r="AI101" s="126" t="str">
        <f t="shared" si="39"/>
        <v/>
      </c>
      <c r="AK101" s="7"/>
      <c r="AL101" s="58" t="str">
        <f t="shared" si="26"/>
        <v/>
      </c>
      <c r="AN101" s="127" t="str">
        <f>IF('Teams &amp; HM'!Q159="","",'Teams &amp; HM'!Q159)</f>
        <v/>
      </c>
      <c r="AO101" s="127" t="str">
        <f>IF('Teams &amp; HM'!R159="","",'Teams &amp; HM'!R159)</f>
        <v/>
      </c>
      <c r="AP101" s="129"/>
      <c r="AR101" s="59" t="str">
        <f t="shared" si="27"/>
        <v/>
      </c>
      <c r="AT101" s="132"/>
      <c r="AU101" s="121"/>
    </row>
    <row r="102" spans="1:47" x14ac:dyDescent="0.25">
      <c r="A102" s="28" t="str">
        <f t="shared" si="28"/>
        <v/>
      </c>
      <c r="B102" s="28" t="str">
        <f>IF(AR102="","",IF(AA102='Instructions &amp; Reference'!$C$6,Scores!AR102,""))</f>
        <v/>
      </c>
      <c r="C102" s="29" t="str">
        <f>IF(D102="","",RANK(D102,$D$3:$D181,0))</f>
        <v/>
      </c>
      <c r="D102" s="29" t="str">
        <f>IF(AR102="","",IF(AA102='Instructions &amp; Reference'!$C$7,Scores!AR102,""))</f>
        <v/>
      </c>
      <c r="E102" s="28" t="str">
        <f t="shared" si="29"/>
        <v/>
      </c>
      <c r="F102" s="28" t="str">
        <f>IF(AR102="","",IF(AA102='Instructions &amp; Reference'!$C$8,Scores!AR102,""))</f>
        <v/>
      </c>
      <c r="G102" s="29" t="str">
        <f t="shared" si="30"/>
        <v/>
      </c>
      <c r="H102" s="29" t="str">
        <f>IF(AR102="","",IF(AA102='Instructions &amp; Reference'!$C$9,Scores!AR102,""))</f>
        <v/>
      </c>
      <c r="I102" s="28" t="str">
        <f t="shared" si="31"/>
        <v/>
      </c>
      <c r="J102" s="28" t="str">
        <f>IF(AR102="","",IF(AA102='Instructions &amp; Reference'!$C$10,Scores!AR102,""))</f>
        <v/>
      </c>
      <c r="K102" s="29" t="str">
        <f t="shared" si="32"/>
        <v/>
      </c>
      <c r="L102" s="29" t="str">
        <f>IF(AR102="","",IF(AA102='Instructions &amp; Reference'!$C$11,Scores!AR102,""))</f>
        <v/>
      </c>
      <c r="M102" s="28" t="str">
        <f t="shared" si="33"/>
        <v/>
      </c>
      <c r="N102" s="28" t="str">
        <f>IF(AR102="","",IF(AA102='Instructions &amp; Reference'!$C$12,Scores!AR102,""))</f>
        <v/>
      </c>
      <c r="O102" s="29" t="str">
        <f t="shared" si="34"/>
        <v/>
      </c>
      <c r="P102" s="29" t="str">
        <f>IF(AR102="","",IF(AA102='Instructions &amp; Reference'!$C$13,Scores!AR102,""))</f>
        <v/>
      </c>
      <c r="Q102" s="28" t="str">
        <f t="shared" si="35"/>
        <v/>
      </c>
      <c r="R102" s="28" t="str">
        <f>IF(AR102="","",IF(AA102='Instructions &amp; Reference'!$C$14,Scores!AR102,""))</f>
        <v/>
      </c>
      <c r="S102" s="29" t="str">
        <f t="shared" si="36"/>
        <v/>
      </c>
      <c r="T102" s="29" t="str">
        <f>IF(AR102="","",IF(AA102='Instructions &amp; Reference'!$C$15,Scores!AR102,""))</f>
        <v/>
      </c>
      <c r="U102" s="28" t="str">
        <f t="shared" si="37"/>
        <v/>
      </c>
      <c r="V102" s="28" t="str">
        <f>IF(AR102="","",IF(AA102='Instructions &amp; Reference'!$C$16,Scores!AR102,""))</f>
        <v/>
      </c>
      <c r="W102" s="29" t="str">
        <f t="shared" si="38"/>
        <v/>
      </c>
      <c r="X102" s="30" t="str">
        <f>IF(AR102="","",IF(AA102='Instructions &amp; Reference'!$C$17,Scores!AR102,""))</f>
        <v/>
      </c>
      <c r="Z102" s="32" t="str">
        <f>IF('Teams &amp; HM'!A154="","",'Teams &amp; HM'!A154)</f>
        <v/>
      </c>
      <c r="AA102" s="126" t="str">
        <f>IF('Teams &amp; HM'!H160="","",'Teams &amp; HM'!H160)</f>
        <v/>
      </c>
      <c r="AB102" s="126" t="str">
        <f>IF('Teams &amp; HM'!A160="","",'Teams &amp; HM'!A160)</f>
        <v/>
      </c>
      <c r="AC102" s="126" t="str">
        <f>IF('Teams &amp; HM'!B160="","",'Teams &amp; HM'!B160)</f>
        <v/>
      </c>
      <c r="AE102" s="126" t="str">
        <f>IF(Ride!V102="","",Ride!X102)</f>
        <v/>
      </c>
      <c r="AF102" s="126" t="str">
        <f>IF(Run!L102="","",Run!L102)</f>
        <v/>
      </c>
      <c r="AG102" s="126" t="str">
        <f>IF(Shoot!J102="","",Shoot!J102)</f>
        <v/>
      </c>
      <c r="AH102" s="126" t="str">
        <f>IF(Swim!K102="","",Swim!K102)</f>
        <v/>
      </c>
      <c r="AI102" s="126" t="str">
        <f t="shared" si="39"/>
        <v/>
      </c>
      <c r="AK102" s="7"/>
      <c r="AL102" s="58" t="str">
        <f t="shared" si="26"/>
        <v/>
      </c>
      <c r="AN102" s="127" t="str">
        <f>IF('Teams &amp; HM'!Q160="","",'Teams &amp; HM'!Q160)</f>
        <v/>
      </c>
      <c r="AO102" s="127" t="str">
        <f>IF('Teams &amp; HM'!R160="","",'Teams &amp; HM'!R160)</f>
        <v/>
      </c>
      <c r="AP102" s="130"/>
      <c r="AR102" s="59" t="str">
        <f t="shared" si="27"/>
        <v/>
      </c>
      <c r="AT102" s="133"/>
      <c r="AU102" s="122"/>
    </row>
    <row r="103" spans="1:47" x14ac:dyDescent="0.25">
      <c r="H103" s="29" t="str">
        <f>IF(AR103="","",IF(AA103='Instructions &amp; Reference'!$C$9,Scores!AR103,""))</f>
        <v/>
      </c>
      <c r="J103" s="28" t="str">
        <f>IF(AR103="","",IF(AA103='Instructions &amp; Reference'!$C$10,Scores!AR103,""))</f>
        <v/>
      </c>
      <c r="N103" s="28" t="str">
        <f>IF(AR103="","",IF(AA103='Instructions &amp; Reference'!$C$12,Scores!AR103,""))</f>
        <v/>
      </c>
      <c r="R103" s="28" t="str">
        <f>IF(AR103="","",IF(AA103='Instructions &amp; Reference'!$C$14,Scores!AR103,""))</f>
        <v/>
      </c>
    </row>
    <row r="104" spans="1:47" x14ac:dyDescent="0.25">
      <c r="H104" s="29" t="str">
        <f>IF(AR104="","",IF(AA104='Instructions &amp; Reference'!$C$9,Scores!AR104,""))</f>
        <v/>
      </c>
      <c r="J104" s="28" t="str">
        <f>IF(AR104="","",IF(AA104='Instructions &amp; Reference'!$C$10,Scores!AR104,""))</f>
        <v/>
      </c>
      <c r="N104" s="28" t="str">
        <f>IF(AR104="","",IF(AA104='Instructions &amp; Reference'!$C$12,Scores!AR104,""))</f>
        <v/>
      </c>
      <c r="R104" s="28" t="str">
        <f>IF(AR104="","",IF(AA104='Instructions &amp; Reference'!$C$14,Scores!AR104,""))</f>
        <v/>
      </c>
    </row>
    <row r="105" spans="1:47" x14ac:dyDescent="0.25">
      <c r="H105" s="29" t="str">
        <f>IF(AR105="","",IF(AA105='Instructions &amp; Reference'!$C$9,Scores!AR105,""))</f>
        <v/>
      </c>
      <c r="J105" s="28" t="str">
        <f>IF(AR105="","",IF(AA105='Instructions &amp; Reference'!$C$10,Scores!AR105,""))</f>
        <v/>
      </c>
      <c r="N105" s="28" t="str">
        <f>IF(AR105="","",IF(AA105='Instructions &amp; Reference'!$C$12,Scores!AR105,""))</f>
        <v/>
      </c>
      <c r="R105" s="28" t="str">
        <f>IF(AR105="","",IF(AA105='Instructions &amp; Reference'!$C$14,Scores!AR105,""))</f>
        <v/>
      </c>
    </row>
    <row r="106" spans="1:47" x14ac:dyDescent="0.25">
      <c r="H106" s="29" t="str">
        <f>IF(AR106="","",IF(AA106='Instructions &amp; Reference'!$C$9,Scores!AR106,""))</f>
        <v/>
      </c>
      <c r="J106" s="28" t="str">
        <f>IF(AR106="","",IF(AA106='Instructions &amp; Reference'!$C$10,Scores!AR106,""))</f>
        <v/>
      </c>
      <c r="N106" s="28" t="str">
        <f>IF(AR106="","",IF(AA106='Instructions &amp; Reference'!$C$12,Scores!AR106,""))</f>
        <v/>
      </c>
      <c r="R106" s="28" t="str">
        <f>IF(AR106="","",IF(AA106='Instructions &amp; Reference'!$C$14,Scores!AR106,""))</f>
        <v/>
      </c>
    </row>
    <row r="107" spans="1:47" x14ac:dyDescent="0.25">
      <c r="H107" s="29" t="str">
        <f>IF(AR107="","",IF(AA107='Instructions &amp; Reference'!$C$9,Scores!AR107,""))</f>
        <v/>
      </c>
      <c r="J107" s="28" t="str">
        <f>IF(AR107="","",IF(AA107='Instructions &amp; Reference'!$C$10,Scores!AR107,""))</f>
        <v/>
      </c>
      <c r="N107" s="28" t="str">
        <f>IF(AR107="","",IF(AA107='Instructions &amp; Reference'!$C$12,Scores!AR107,""))</f>
        <v/>
      </c>
      <c r="R107" s="28" t="str">
        <f>IF(AR107="","",IF(AA107='Instructions &amp; Reference'!$C$14,Scores!AR107,""))</f>
        <v/>
      </c>
    </row>
    <row r="108" spans="1:47" x14ac:dyDescent="0.25">
      <c r="H108" s="29" t="str">
        <f>IF(AR108="","",IF(AA108='Instructions &amp; Reference'!$C$9,Scores!AR108,""))</f>
        <v/>
      </c>
      <c r="J108" s="28" t="str">
        <f>IF(AR108="","",IF(AA108='Instructions &amp; Reference'!$C$10,Scores!AR108,""))</f>
        <v/>
      </c>
      <c r="N108" s="28" t="str">
        <f>IF(AR108="","",IF(AA108='Instructions &amp; Reference'!$C$12,Scores!AR108,""))</f>
        <v/>
      </c>
      <c r="R108" s="28" t="str">
        <f>IF(AR108="","",IF(AA108='Instructions &amp; Reference'!$C$14,Scores!AR108,""))</f>
        <v/>
      </c>
    </row>
    <row r="109" spans="1:47" x14ac:dyDescent="0.25">
      <c r="H109" s="29" t="str">
        <f>IF(AR109="","",IF(AA109='Instructions &amp; Reference'!$C$9,Scores!AR109,""))</f>
        <v/>
      </c>
      <c r="J109" s="28" t="str">
        <f>IF(AR109="","",IF(AA109='Instructions &amp; Reference'!$C$10,Scores!AR109,""))</f>
        <v/>
      </c>
      <c r="N109" s="28" t="str">
        <f>IF(AR109="","",IF(AA109='Instructions &amp; Reference'!$C$12,Scores!AR109,""))</f>
        <v/>
      </c>
      <c r="R109" s="28" t="str">
        <f>IF(AR109="","",IF(AA109='Instructions &amp; Reference'!$C$14,Scores!AR109,""))</f>
        <v/>
      </c>
    </row>
    <row r="110" spans="1:47" x14ac:dyDescent="0.25">
      <c r="H110" s="29" t="str">
        <f>IF(AR110="","",IF(AA110='Instructions &amp; Reference'!$C$9,Scores!AR110,""))</f>
        <v/>
      </c>
      <c r="J110" s="28" t="str">
        <f>IF(AR110="","",IF(AA110='Instructions &amp; Reference'!$C$10,Scores!AR110,""))</f>
        <v/>
      </c>
      <c r="N110" s="28" t="str">
        <f>IF(AR110="","",IF(AA110='Instructions &amp; Reference'!$C$12,Scores!AR110,""))</f>
        <v/>
      </c>
      <c r="R110" s="28" t="str">
        <f>IF(AR110="","",IF(AA110='Instructions &amp; Reference'!$C$14,Scores!AR110,""))</f>
        <v/>
      </c>
    </row>
    <row r="111" spans="1:47" x14ac:dyDescent="0.25">
      <c r="H111" s="29" t="str">
        <f>IF(AR111="","",IF(AA111='Instructions &amp; Reference'!$C$9,Scores!AR111,""))</f>
        <v/>
      </c>
      <c r="J111" s="28" t="str">
        <f>IF(AR111="","",IF(AA111='Instructions &amp; Reference'!$C$10,Scores!AR111,""))</f>
        <v/>
      </c>
      <c r="N111" s="28" t="str">
        <f>IF(AR111="","",IF(AA111='Instructions &amp; Reference'!$C$12,Scores!AR111,""))</f>
        <v/>
      </c>
      <c r="R111" s="28" t="str">
        <f>IF(AR111="","",IF(AA111='Instructions &amp; Reference'!$C$14,Scores!AR111,""))</f>
        <v/>
      </c>
    </row>
    <row r="112" spans="1:47" x14ac:dyDescent="0.25">
      <c r="H112" s="29" t="str">
        <f>IF(AR112="","",IF(AA112='Instructions &amp; Reference'!$C$9,Scores!AR112,""))</f>
        <v/>
      </c>
      <c r="J112" s="28" t="str">
        <f>IF(AR112="","",IF(AA112='Instructions &amp; Reference'!$C$10,Scores!AR112,""))</f>
        <v/>
      </c>
      <c r="N112" s="28" t="str">
        <f>IF(AR112="","",IF(AA112='Instructions &amp; Reference'!$C$12,Scores!AR112,""))</f>
        <v/>
      </c>
      <c r="R112" s="28" t="str">
        <f>IF(AR112="","",IF(AA112='Instructions &amp; Reference'!$C$14,Scores!AR112,""))</f>
        <v/>
      </c>
    </row>
    <row r="113" spans="8:18" x14ac:dyDescent="0.25">
      <c r="H113" s="29" t="str">
        <f>IF(AR113="","",IF(AA113='Instructions &amp; Reference'!$C$9,Scores!AR113,""))</f>
        <v/>
      </c>
      <c r="J113" s="28" t="str">
        <f>IF(AR113="","",IF(AA113='Instructions &amp; Reference'!$C$10,Scores!AR113,""))</f>
        <v/>
      </c>
      <c r="N113" s="28" t="str">
        <f>IF(AR113="","",IF(AA113='Instructions &amp; Reference'!$C$12,Scores!AR113,""))</f>
        <v/>
      </c>
      <c r="R113" s="28" t="str">
        <f>IF(AR113="","",IF(AA113='Instructions &amp; Reference'!$C$14,Scores!AR113,""))</f>
        <v/>
      </c>
    </row>
    <row r="114" spans="8:18" x14ac:dyDescent="0.25">
      <c r="H114" s="29" t="str">
        <f>IF(AR114="","",IF(AA114='Instructions &amp; Reference'!$C$9,Scores!AR114,""))</f>
        <v/>
      </c>
      <c r="J114" s="28" t="str">
        <f>IF(AR114="","",IF(AA114='Instructions &amp; Reference'!$C$10,Scores!AR114,""))</f>
        <v/>
      </c>
      <c r="N114" s="28" t="str">
        <f>IF(AR114="","",IF(AA114='Instructions &amp; Reference'!$C$12,Scores!AR114,""))</f>
        <v/>
      </c>
      <c r="R114" s="28" t="str">
        <f>IF(AR114="","",IF(AA114='Instructions &amp; Reference'!$C$14,Scores!AR114,""))</f>
        <v/>
      </c>
    </row>
    <row r="115" spans="8:18" x14ac:dyDescent="0.25">
      <c r="H115" s="29" t="str">
        <f>IF(AR115="","",IF(AA115='Instructions &amp; Reference'!$C$9,Scores!AR115,""))</f>
        <v/>
      </c>
      <c r="J115" s="28" t="str">
        <f>IF(AR115="","",IF(AA115='Instructions &amp; Reference'!$C$10,Scores!AR115,""))</f>
        <v/>
      </c>
      <c r="N115" s="28" t="str">
        <f>IF(AR115="","",IF(AA115='Instructions &amp; Reference'!$C$12,Scores!AR115,""))</f>
        <v/>
      </c>
      <c r="R115" s="28" t="str">
        <f>IF(AR115="","",IF(AA115='Instructions &amp; Reference'!$C$14,Scores!AR115,""))</f>
        <v/>
      </c>
    </row>
    <row r="116" spans="8:18" x14ac:dyDescent="0.25">
      <c r="H116" s="29" t="str">
        <f>IF(AR116="","",IF(AA116='Instructions &amp; Reference'!$C$9,Scores!AR116,""))</f>
        <v/>
      </c>
      <c r="J116" s="28" t="str">
        <f>IF(AR116="","",IF(AA116='Instructions &amp; Reference'!$C$10,Scores!AR116,""))</f>
        <v/>
      </c>
      <c r="N116" s="28" t="str">
        <f>IF(AR116="","",IF(AA116='Instructions &amp; Reference'!$C$12,Scores!AR116,""))</f>
        <v/>
      </c>
      <c r="R116" s="28" t="str">
        <f>IF(AR116="","",IF(AA116='Instructions &amp; Reference'!$C$14,Scores!AR116,""))</f>
        <v/>
      </c>
    </row>
    <row r="117" spans="8:18" x14ac:dyDescent="0.25">
      <c r="H117" s="29" t="str">
        <f>IF(AR117="","",IF(AA117='Instructions &amp; Reference'!$C$9,Scores!AR117,""))</f>
        <v/>
      </c>
      <c r="J117" s="28" t="str">
        <f>IF(AR117="","",IF(AA117='Instructions &amp; Reference'!$C$10,Scores!AR117,""))</f>
        <v/>
      </c>
      <c r="N117" s="28" t="str">
        <f>IF(AR117="","",IF(AA117='Instructions &amp; Reference'!$C$12,Scores!AR117,""))</f>
        <v/>
      </c>
      <c r="R117" s="28" t="str">
        <f>IF(AR117="","",IF(AA117='Instructions &amp; Reference'!$C$14,Scores!AR117,""))</f>
        <v/>
      </c>
    </row>
    <row r="118" spans="8:18" x14ac:dyDescent="0.25">
      <c r="H118" s="29" t="str">
        <f>IF(AR118="","",IF(AA118='Instructions &amp; Reference'!$C$9,Scores!AR118,""))</f>
        <v/>
      </c>
      <c r="J118" s="28" t="str">
        <f>IF(AR118="","",IF(AA118='Instructions &amp; Reference'!$C$10,Scores!AR118,""))</f>
        <v/>
      </c>
      <c r="N118" s="28" t="str">
        <f>IF(AR118="","",IF(AA118='Instructions &amp; Reference'!$C$12,Scores!AR118,""))</f>
        <v/>
      </c>
      <c r="R118" s="28" t="str">
        <f>IF(AR118="","",IF(AA118='Instructions &amp; Reference'!$C$14,Scores!AR118,""))</f>
        <v/>
      </c>
    </row>
    <row r="119" spans="8:18" x14ac:dyDescent="0.25">
      <c r="H119" s="29" t="str">
        <f>IF(AR119="","",IF(AA119='Instructions &amp; Reference'!$C$9,Scores!AR119,""))</f>
        <v/>
      </c>
      <c r="J119" s="28" t="str">
        <f>IF(AR119="","",IF(AA119='Instructions &amp; Reference'!$C$10,Scores!AR119,""))</f>
        <v/>
      </c>
      <c r="N119" s="28" t="str">
        <f>IF(AR119="","",IF(AA119='Instructions &amp; Reference'!$C$12,Scores!AR119,""))</f>
        <v/>
      </c>
      <c r="R119" s="28" t="str">
        <f>IF(AR119="","",IF(AA119='Instructions &amp; Reference'!$C$14,Scores!AR119,""))</f>
        <v/>
      </c>
    </row>
    <row r="120" spans="8:18" x14ac:dyDescent="0.25">
      <c r="H120" s="29" t="str">
        <f>IF(AR120="","",IF(AA120='Instructions &amp; Reference'!$C$9,Scores!AR120,""))</f>
        <v/>
      </c>
      <c r="J120" s="28" t="str">
        <f>IF(AR120="","",IF(AA120='Instructions &amp; Reference'!$C$10,Scores!AR120,""))</f>
        <v/>
      </c>
      <c r="N120" s="28" t="str">
        <f>IF(AR120="","",IF(AA120='Instructions &amp; Reference'!$C$12,Scores!AR120,""))</f>
        <v/>
      </c>
      <c r="R120" s="28" t="str">
        <f>IF(AR120="","",IF(AA120='Instructions &amp; Reference'!$C$14,Scores!AR120,""))</f>
        <v/>
      </c>
    </row>
    <row r="121" spans="8:18" x14ac:dyDescent="0.25">
      <c r="H121" s="29" t="str">
        <f>IF(AR121="","",IF(AA121='Instructions &amp; Reference'!$C$9,Scores!AR121,""))</f>
        <v/>
      </c>
      <c r="J121" s="28" t="str">
        <f>IF(AR121="","",IF(AA121='Instructions &amp; Reference'!$C$10,Scores!AR121,""))</f>
        <v/>
      </c>
      <c r="N121" s="28" t="str">
        <f>IF(AR121="","",IF(AA121='Instructions &amp; Reference'!$C$12,Scores!AR121,""))</f>
        <v/>
      </c>
      <c r="R121" s="28" t="str">
        <f>IF(AR121="","",IF(AA121='Instructions &amp; Reference'!$C$14,Scores!AR121,""))</f>
        <v/>
      </c>
    </row>
    <row r="122" spans="8:18" x14ac:dyDescent="0.25">
      <c r="H122" s="29" t="str">
        <f>IF(AR122="","",IF(AA122='Instructions &amp; Reference'!$C$9,Scores!AR122,""))</f>
        <v/>
      </c>
      <c r="J122" s="28" t="str">
        <f>IF(AR122="","",IF(AA122='Instructions &amp; Reference'!$C$10,Scores!AR122,""))</f>
        <v/>
      </c>
      <c r="N122" s="28" t="str">
        <f>IF(AR122="","",IF(AA122='Instructions &amp; Reference'!$C$12,Scores!AR122,""))</f>
        <v/>
      </c>
      <c r="R122" s="28" t="str">
        <f>IF(AR122="","",IF(AA122='Instructions &amp; Reference'!$C$14,Scores!AR122,""))</f>
        <v/>
      </c>
    </row>
    <row r="123" spans="8:18" x14ac:dyDescent="0.25">
      <c r="H123" s="29" t="str">
        <f>IF(AR123="","",IF(AA123='Instructions &amp; Reference'!$C$9,Scores!AR123,""))</f>
        <v/>
      </c>
      <c r="J123" s="28" t="str">
        <f>IF(AR123="","",IF(AA123='Instructions &amp; Reference'!$C$10,Scores!AR123,""))</f>
        <v/>
      </c>
      <c r="N123" s="28" t="str">
        <f>IF(AR123="","",IF(AA123='Instructions &amp; Reference'!$C$12,Scores!AR123,""))</f>
        <v/>
      </c>
      <c r="R123" s="28" t="str">
        <f>IF(AR123="","",IF(AA123='Instructions &amp; Reference'!$C$14,Scores!AR123,""))</f>
        <v/>
      </c>
    </row>
    <row r="124" spans="8:18" x14ac:dyDescent="0.25">
      <c r="H124" s="29" t="str">
        <f>IF(AR124="","",IF(AA124='Instructions &amp; Reference'!$C$9,Scores!AR124,""))</f>
        <v/>
      </c>
      <c r="J124" s="28" t="str">
        <f>IF(AR124="","",IF(AA124='Instructions &amp; Reference'!$C$10,Scores!AR124,""))</f>
        <v/>
      </c>
      <c r="N124" s="28" t="str">
        <f>IF(AR124="","",IF(AA124='Instructions &amp; Reference'!$C$12,Scores!AR124,""))</f>
        <v/>
      </c>
      <c r="R124" s="28" t="str">
        <f>IF(AR124="","",IF(AA124='Instructions &amp; Reference'!$C$14,Scores!AR124,""))</f>
        <v/>
      </c>
    </row>
    <row r="125" spans="8:18" x14ac:dyDescent="0.25">
      <c r="H125" s="29" t="str">
        <f>IF(AR125="","",IF(AA125='Instructions &amp; Reference'!$C$9,Scores!AR125,""))</f>
        <v/>
      </c>
      <c r="J125" s="28" t="str">
        <f>IF(AR125="","",IF(AA125='Instructions &amp; Reference'!$C$10,Scores!AR125,""))</f>
        <v/>
      </c>
      <c r="N125" s="28" t="str">
        <f>IF(AR125="","",IF(AA125='Instructions &amp; Reference'!$C$12,Scores!AR125,""))</f>
        <v/>
      </c>
      <c r="R125" s="28" t="str">
        <f>IF(AR125="","",IF(AA125='Instructions &amp; Reference'!$C$14,Scores!AR125,""))</f>
        <v/>
      </c>
    </row>
    <row r="126" spans="8:18" x14ac:dyDescent="0.25">
      <c r="H126" s="29" t="str">
        <f>IF(AR126="","",IF(AA126='Instructions &amp; Reference'!$C$9,Scores!AR126,""))</f>
        <v/>
      </c>
      <c r="J126" s="28" t="str">
        <f>IF(AR126="","",IF(AA126='Instructions &amp; Reference'!$C$10,Scores!AR126,""))</f>
        <v/>
      </c>
      <c r="R126" s="28" t="str">
        <f>IF(AR126="","",IF(AA126='Instructions &amp; Reference'!$C$14,Scores!AR126,""))</f>
        <v/>
      </c>
    </row>
    <row r="127" spans="8:18" x14ac:dyDescent="0.25">
      <c r="H127" s="29" t="str">
        <f>IF(AR127="","",IF(AA127='Instructions &amp; Reference'!$C$9,Scores!AR127,""))</f>
        <v/>
      </c>
      <c r="J127" s="28" t="str">
        <f>IF(AR127="","",IF(AA127='Instructions &amp; Reference'!$C$10,Scores!AR127,""))</f>
        <v/>
      </c>
      <c r="R127" s="28" t="str">
        <f>IF(AR127="","",IF(AA127='Instructions &amp; Reference'!$C$14,Scores!AR127,""))</f>
        <v/>
      </c>
    </row>
    <row r="128" spans="8:18" x14ac:dyDescent="0.25">
      <c r="H128" s="29" t="str">
        <f>IF(AR128="","",IF(AA128='Instructions &amp; Reference'!$C$9,Scores!AR128,""))</f>
        <v/>
      </c>
      <c r="J128" s="28" t="str">
        <f>IF(AR128="","",IF(AA128='Instructions &amp; Reference'!$C$10,Scores!AR128,""))</f>
        <v/>
      </c>
      <c r="R128" s="28" t="str">
        <f>IF(AR128="","",IF(AA128='Instructions &amp; Reference'!$C$14,Scores!AR128,""))</f>
        <v/>
      </c>
    </row>
    <row r="129" spans="8:10" x14ac:dyDescent="0.25">
      <c r="H129" s="29" t="str">
        <f>IF(AR129="","",IF(AA129='Instructions &amp; Reference'!$C$9,Scores!AR129,""))</f>
        <v/>
      </c>
      <c r="J129" s="28" t="str">
        <f>IF(AR129="","",IF(AA129='Instructions &amp; Reference'!$C$10,Scores!AR129,""))</f>
        <v/>
      </c>
    </row>
    <row r="130" spans="8:10" x14ac:dyDescent="0.25">
      <c r="H130" s="29" t="str">
        <f>IF(AR130="","",IF(AA130='Instructions &amp; Reference'!$C$9,Scores!AR130,""))</f>
        <v/>
      </c>
      <c r="J130" s="28" t="str">
        <f>IF(AR130="","",IF(AA130='Instructions &amp; Reference'!$C$10,Scores!AR130,""))</f>
        <v/>
      </c>
    </row>
    <row r="131" spans="8:10" x14ac:dyDescent="0.25">
      <c r="H131" s="29" t="str">
        <f>IF(AR131="","",IF(AA131='Instructions &amp; Reference'!$C$9,Scores!AR131,""))</f>
        <v/>
      </c>
      <c r="J131" s="28" t="str">
        <f>IF(AR131="","",IF(AA131='Instructions &amp; Reference'!$C$10,Scores!AR131,""))</f>
        <v/>
      </c>
    </row>
    <row r="132" spans="8:10" x14ac:dyDescent="0.25">
      <c r="H132" s="29" t="str">
        <f>IF(AR132="","",IF(AA132='Instructions &amp; Reference'!$C$9,Scores!AR132,""))</f>
        <v/>
      </c>
      <c r="J132" s="28" t="str">
        <f>IF(AR132="","",IF(AA132='Instructions &amp; Reference'!$C$10,Scores!AR132,""))</f>
        <v/>
      </c>
    </row>
    <row r="133" spans="8:10" x14ac:dyDescent="0.25">
      <c r="H133" s="29" t="str">
        <f>IF(AR133="","",IF(AA133='Instructions &amp; Reference'!$C$9,Scores!AR133,""))</f>
        <v/>
      </c>
      <c r="J133" s="28" t="str">
        <f>IF(AR133="","",IF(AA133='Instructions &amp; Reference'!$C$10,Scores!AR133,""))</f>
        <v/>
      </c>
    </row>
    <row r="134" spans="8:10" x14ac:dyDescent="0.25">
      <c r="H134" s="29" t="str">
        <f>IF(AR134="","",IF(AA134='Instructions &amp; Reference'!$C$9,Scores!AR134,""))</f>
        <v/>
      </c>
      <c r="J134" s="28" t="str">
        <f>IF(AR134="","",IF(AA134='Instructions &amp; Reference'!$C$10,Scores!AR134,""))</f>
        <v/>
      </c>
    </row>
    <row r="135" spans="8:10" x14ac:dyDescent="0.25">
      <c r="H135" s="29" t="str">
        <f>IF(AR135="","",IF(AA135='Instructions &amp; Reference'!$C$9,Scores!AR135,""))</f>
        <v/>
      </c>
      <c r="J135" s="28" t="str">
        <f>IF(AR135="","",IF(AA135='Instructions &amp; Reference'!$C$10,Scores!AR135,""))</f>
        <v/>
      </c>
    </row>
    <row r="136" spans="8:10" x14ac:dyDescent="0.25">
      <c r="H136" s="29" t="str">
        <f>IF(AR136="","",IF(AA136='Instructions &amp; Reference'!$C$9,Scores!AR136,""))</f>
        <v/>
      </c>
      <c r="J136" s="28" t="str">
        <f>IF(AR136="","",IF(AA136='Instructions &amp; Reference'!$C$10,Scores!AR136,""))</f>
        <v/>
      </c>
    </row>
    <row r="137" spans="8:10" x14ac:dyDescent="0.25">
      <c r="H137" s="29" t="str">
        <f>IF(AR137="","",IF(AA137='Instructions &amp; Reference'!$C$9,Scores!AR137,""))</f>
        <v/>
      </c>
      <c r="J137" s="28" t="str">
        <f>IF(AR137="","",IF(AA137='Instructions &amp; Reference'!$C$10,Scores!AR137,""))</f>
        <v/>
      </c>
    </row>
    <row r="138" spans="8:10" x14ac:dyDescent="0.25">
      <c r="H138" s="29" t="str">
        <f>IF(AR138="","",IF(AA138='Instructions &amp; Reference'!$C$9,Scores!AR138,""))</f>
        <v/>
      </c>
      <c r="J138" s="28" t="str">
        <f>IF(AR138="","",IF(AA138='Instructions &amp; Reference'!$C$10,Scores!AR138,""))</f>
        <v/>
      </c>
    </row>
    <row r="139" spans="8:10" x14ac:dyDescent="0.25">
      <c r="H139" s="29" t="str">
        <f>IF(AR139="","",IF(AA139='Instructions &amp; Reference'!$C$9,Scores!AR139,""))</f>
        <v/>
      </c>
      <c r="J139" s="28" t="str">
        <f>IF(AR139="","",IF(AA139='Instructions &amp; Reference'!$C$10,Scores!AR139,""))</f>
        <v/>
      </c>
    </row>
    <row r="140" spans="8:10" x14ac:dyDescent="0.25">
      <c r="H140" s="29" t="str">
        <f>IF(AR140="","",IF(AA140='Instructions &amp; Reference'!$C$9,Scores!AR140,""))</f>
        <v/>
      </c>
      <c r="J140" s="28" t="str">
        <f>IF(AR140="","",IF(AA140='Instructions &amp; Reference'!$C$10,Scores!AR140,""))</f>
        <v/>
      </c>
    </row>
    <row r="141" spans="8:10" x14ac:dyDescent="0.25">
      <c r="H141" s="29" t="str">
        <f>IF(AR141="","",IF(AA141='Instructions &amp; Reference'!$C$9,Scores!AR141,""))</f>
        <v/>
      </c>
      <c r="J141" s="28" t="str">
        <f>IF(AR141="","",IF(AA141='Instructions &amp; Reference'!$C$10,Scores!AR141,""))</f>
        <v/>
      </c>
    </row>
    <row r="142" spans="8:10" x14ac:dyDescent="0.25">
      <c r="H142" s="29" t="str">
        <f>IF(AR142="","",IF(AA142='Instructions &amp; Reference'!$C$9,Scores!AR142,""))</f>
        <v/>
      </c>
      <c r="J142" s="28" t="str">
        <f>IF(AR142="","",IF(AA142='Instructions &amp; Reference'!$C$10,Scores!AR142,""))</f>
        <v/>
      </c>
    </row>
    <row r="143" spans="8:10" x14ac:dyDescent="0.25">
      <c r="H143" s="29" t="str">
        <f>IF(AR143="","",IF(AA143='Instructions &amp; Reference'!$C$9,Scores!AR143,""))</f>
        <v/>
      </c>
      <c r="J143" s="28" t="str">
        <f>IF(AR143="","",IF(AA143='Instructions &amp; Reference'!$C$10,Scores!AR143,""))</f>
        <v/>
      </c>
    </row>
    <row r="144" spans="8:10" x14ac:dyDescent="0.25">
      <c r="H144" s="29" t="str">
        <f>IF(AR144="","",IF(AA144='Instructions &amp; Reference'!$C$9,Scores!AR144,""))</f>
        <v/>
      </c>
      <c r="J144" s="28" t="str">
        <f>IF(AR144="","",IF(AA144='Instructions &amp; Reference'!$C$10,Scores!AR144,""))</f>
        <v/>
      </c>
    </row>
    <row r="145" spans="8:10" x14ac:dyDescent="0.25">
      <c r="H145" s="29" t="str">
        <f>IF(AR145="","",IF(AA145='Instructions &amp; Reference'!$C$9,Scores!AR145,""))</f>
        <v/>
      </c>
      <c r="J145" s="28" t="str">
        <f>IF(AR145="","",IF(AA145='Instructions &amp; Reference'!$C$10,Scores!AR145,""))</f>
        <v/>
      </c>
    </row>
    <row r="146" spans="8:10" x14ac:dyDescent="0.25">
      <c r="H146" s="29" t="str">
        <f>IF(AR146="","",IF(AA146='Instructions &amp; Reference'!$C$9,Scores!AR146,""))</f>
        <v/>
      </c>
      <c r="J146" s="28" t="str">
        <f>IF(AR146="","",IF(AA146='Instructions &amp; Reference'!$C$10,Scores!AR146,""))</f>
        <v/>
      </c>
    </row>
    <row r="147" spans="8:10" x14ac:dyDescent="0.25">
      <c r="H147" s="29" t="str">
        <f>IF(AR147="","",IF(AA147='Instructions &amp; Reference'!$C$9,Scores!AR147,""))</f>
        <v/>
      </c>
      <c r="J147" s="28" t="str">
        <f>IF(AR147="","",IF(AA147='Instructions &amp; Reference'!$C$10,Scores!AR147,""))</f>
        <v/>
      </c>
    </row>
    <row r="148" spans="8:10" x14ac:dyDescent="0.25">
      <c r="H148" s="29" t="str">
        <f>IF(AR148="","",IF(AA148='Instructions &amp; Reference'!$C$9,Scores!AR148,""))</f>
        <v/>
      </c>
      <c r="J148" s="28" t="str">
        <f>IF(AR148="","",IF(AA148='Instructions &amp; Reference'!$C$10,Scores!AR148,""))</f>
        <v/>
      </c>
    </row>
    <row r="149" spans="8:10" x14ac:dyDescent="0.25">
      <c r="H149" s="29" t="str">
        <f>IF(AR149="","",IF(AA149='Instructions &amp; Reference'!$C$9,Scores!AR149,""))</f>
        <v/>
      </c>
      <c r="J149" s="28" t="str">
        <f>IF(AR149="","",IF(AA149='Instructions &amp; Reference'!$C$10,Scores!AR149,""))</f>
        <v/>
      </c>
    </row>
    <row r="150" spans="8:10" x14ac:dyDescent="0.25">
      <c r="H150" s="29" t="str">
        <f>IF(AR150="","",IF(AA150='Instructions &amp; Reference'!$C$9,Scores!AR150,""))</f>
        <v/>
      </c>
      <c r="J150" s="28" t="str">
        <f>IF(AR150="","",IF(AA150='Instructions &amp; Reference'!$C$10,Scores!AR150,""))</f>
        <v/>
      </c>
    </row>
    <row r="151" spans="8:10" x14ac:dyDescent="0.25">
      <c r="H151" s="29" t="str">
        <f>IF(AR151="","",IF(AA151='Instructions &amp; Reference'!$C$9,Scores!AR151,""))</f>
        <v/>
      </c>
      <c r="J151" s="28" t="str">
        <f>IF(AR151="","",IF(AA151='Instructions &amp; Reference'!$C$10,Scores!AR151,""))</f>
        <v/>
      </c>
    </row>
    <row r="152" spans="8:10" x14ac:dyDescent="0.25">
      <c r="H152" s="29" t="str">
        <f>IF(AR152="","",IF(AA152='Instructions &amp; Reference'!$C$9,Scores!AR152,""))</f>
        <v/>
      </c>
      <c r="J152" s="28" t="str">
        <f>IF(AR152="","",IF(AA152='Instructions &amp; Reference'!$C$10,Scores!AR152,""))</f>
        <v/>
      </c>
    </row>
    <row r="153" spans="8:10" x14ac:dyDescent="0.25">
      <c r="H153" s="29" t="str">
        <f>IF(AR153="","",IF(AA153='Instructions &amp; Reference'!$C$9,Scores!AR153,""))</f>
        <v/>
      </c>
      <c r="J153" s="28" t="str">
        <f>IF(AR153="","",IF(AA153='Instructions &amp; Reference'!$C$10,Scores!AR153,""))</f>
        <v/>
      </c>
    </row>
    <row r="154" spans="8:10" x14ac:dyDescent="0.25">
      <c r="H154" s="29" t="str">
        <f>IF(AR154="","",IF(AA154='Instructions &amp; Reference'!$C$9,Scores!AR154,""))</f>
        <v/>
      </c>
      <c r="J154" s="28" t="str">
        <f>IF(AR154="","",IF(AA154='Instructions &amp; Reference'!$C$10,Scores!AR154,""))</f>
        <v/>
      </c>
    </row>
    <row r="155" spans="8:10" x14ac:dyDescent="0.25">
      <c r="H155" s="29" t="str">
        <f>IF(AR155="","",IF(AA155='Instructions &amp; Reference'!$C$9,Scores!AR155,""))</f>
        <v/>
      </c>
    </row>
    <row r="156" spans="8:10" x14ac:dyDescent="0.25">
      <c r="H156" s="29" t="str">
        <f>IF(AR156="","",IF(AA156='Instructions &amp; Reference'!$C$9,Scores!AR156,""))</f>
        <v/>
      </c>
    </row>
    <row r="157" spans="8:10" x14ac:dyDescent="0.25">
      <c r="H157" s="29" t="str">
        <f>IF(AR157="","",IF(AA157='Instructions &amp; Reference'!$C$9,Scores!AR157,""))</f>
        <v/>
      </c>
    </row>
    <row r="158" spans="8:10" x14ac:dyDescent="0.25">
      <c r="H158" s="29" t="str">
        <f>IF(AR158="","",IF(AA158='Instructions &amp; Reference'!$C$9,Scores!AR158,""))</f>
        <v/>
      </c>
    </row>
    <row r="159" spans="8:10" x14ac:dyDescent="0.25">
      <c r="H159" s="29" t="str">
        <f>IF(AR159="","",IF(AA159='Instructions &amp; Reference'!$C$9,Scores!AR159,""))</f>
        <v/>
      </c>
    </row>
    <row r="160" spans="8:10" x14ac:dyDescent="0.25">
      <c r="H160" s="29" t="str">
        <f>IF(AR160="","",IF(AA160='Instructions &amp; Reference'!$C$9,Scores!AR160,""))</f>
        <v/>
      </c>
    </row>
    <row r="161" spans="8:8" x14ac:dyDescent="0.25">
      <c r="H161" s="29" t="str">
        <f>IF(AR161="","",IF(AA161='Instructions &amp; Reference'!$C$9,Scores!AR161,""))</f>
        <v/>
      </c>
    </row>
    <row r="162" spans="8:8" x14ac:dyDescent="0.25">
      <c r="H162" s="29" t="str">
        <f>IF(AR162="","",IF(AA162='Instructions &amp; Reference'!$C$9,Scores!AR162,""))</f>
        <v/>
      </c>
    </row>
    <row r="163" spans="8:8" x14ac:dyDescent="0.25">
      <c r="H163" s="29" t="str">
        <f>IF(AR163="","",IF(AA163='Instructions &amp; Reference'!$C$9,Scores!AR163,""))</f>
        <v/>
      </c>
    </row>
    <row r="164" spans="8:8" x14ac:dyDescent="0.25">
      <c r="H164" s="29" t="str">
        <f>IF(AR164="","",IF(AA164='Instructions &amp; Reference'!$C$9,Scores!AR164,""))</f>
        <v/>
      </c>
    </row>
  </sheetData>
  <sheetProtection algorithmName="SHA-512" hashValue="7HKLp//H8hSxwGDblgVcbA8M+lf9voRoEy6RvBkwTUdcx2GTJ6ynemnhqz7qxV9ZP4sbhUvuB+iiDuY5eM18Ug==" saltValue="08T+a7P2Q2Pu5AzV6PQTYA==" spinCount="100000" sheet="1" objects="1" scenarios="1"/>
  <mergeCells count="64">
    <mergeCell ref="AU83:AU87"/>
    <mergeCell ref="AU88:AU92"/>
    <mergeCell ref="AU93:AU97"/>
    <mergeCell ref="AU98:AU102"/>
    <mergeCell ref="AU58:AU62"/>
    <mergeCell ref="AU63:AU67"/>
    <mergeCell ref="AU68:AU72"/>
    <mergeCell ref="AU73:AU77"/>
    <mergeCell ref="AU78:AU82"/>
    <mergeCell ref="AU33:AU37"/>
    <mergeCell ref="AU38:AU42"/>
    <mergeCell ref="AU43:AU47"/>
    <mergeCell ref="AU48:AU52"/>
    <mergeCell ref="AU53:AU57"/>
    <mergeCell ref="AU8:AU12"/>
    <mergeCell ref="AU13:AU17"/>
    <mergeCell ref="AU18:AU22"/>
    <mergeCell ref="AU23:AU27"/>
    <mergeCell ref="AU28:AU32"/>
    <mergeCell ref="Z1:AC1"/>
    <mergeCell ref="AE1:AI1"/>
    <mergeCell ref="AR1:AR2"/>
    <mergeCell ref="AN1:AP1"/>
    <mergeCell ref="AU3:AU7"/>
    <mergeCell ref="AP3:AP7"/>
    <mergeCell ref="AT3:AT7"/>
    <mergeCell ref="AP8:AP12"/>
    <mergeCell ref="AP13:AP17"/>
    <mergeCell ref="AP18:AP22"/>
    <mergeCell ref="AP23:AP27"/>
    <mergeCell ref="AP28:AP32"/>
    <mergeCell ref="AP33:AP37"/>
    <mergeCell ref="AP38:AP42"/>
    <mergeCell ref="AP43:AP47"/>
    <mergeCell ref="AP48:AP52"/>
    <mergeCell ref="AP53:AP57"/>
    <mergeCell ref="AP83:AP87"/>
    <mergeCell ref="AP88:AP92"/>
    <mergeCell ref="AP93:AP97"/>
    <mergeCell ref="AP98:AP102"/>
    <mergeCell ref="AP58:AP62"/>
    <mergeCell ref="AP63:AP67"/>
    <mergeCell ref="AP68:AP72"/>
    <mergeCell ref="AP73:AP77"/>
    <mergeCell ref="AP78:AP82"/>
    <mergeCell ref="AT8:AT12"/>
    <mergeCell ref="AT13:AT17"/>
    <mergeCell ref="AT18:AT22"/>
    <mergeCell ref="AT23:AT27"/>
    <mergeCell ref="AT28:AT32"/>
    <mergeCell ref="AT33:AT37"/>
    <mergeCell ref="AT38:AT42"/>
    <mergeCell ref="AT43:AT47"/>
    <mergeCell ref="AT48:AT52"/>
    <mergeCell ref="AT53:AT57"/>
    <mergeCell ref="AT83:AT87"/>
    <mergeCell ref="AT88:AT92"/>
    <mergeCell ref="AT93:AT97"/>
    <mergeCell ref="AT98:AT102"/>
    <mergeCell ref="AT58:AT62"/>
    <mergeCell ref="AT63:AT67"/>
    <mergeCell ref="AT68:AT72"/>
    <mergeCell ref="AT73:AT77"/>
    <mergeCell ref="AT78:AT8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DEDA9"/>
    <pageSetUpPr autoPageBreaks="0" fitToPage="1"/>
  </sheetPr>
  <dimension ref="B1:T53"/>
  <sheetViews>
    <sheetView workbookViewId="0">
      <selection activeCell="Q37" activeCellId="3" sqref="B37:E37 G37:J37 L37:O37 Q37:T37"/>
    </sheetView>
  </sheetViews>
  <sheetFormatPr defaultRowHeight="15" x14ac:dyDescent="0.25"/>
  <cols>
    <col min="1" max="1" width="2.85546875" style="1" customWidth="1"/>
    <col min="2" max="2" width="4.42578125" style="2" customWidth="1"/>
    <col min="3" max="5" width="9.140625" style="2"/>
    <col min="6" max="6" width="2.28515625" style="2" customWidth="1"/>
    <col min="7" max="7" width="4.7109375" style="2" customWidth="1"/>
    <col min="8" max="10" width="9.140625" style="2"/>
    <col min="11" max="11" width="2.5703125" style="2" customWidth="1"/>
    <col min="12" max="12" width="4.28515625" style="2" customWidth="1"/>
    <col min="13" max="15" width="9.140625" style="2"/>
    <col min="16" max="16" width="2.5703125" style="2" customWidth="1"/>
    <col min="17" max="17" width="4.5703125" style="2" customWidth="1"/>
    <col min="18" max="20" width="9.140625" style="2"/>
    <col min="21" max="21" width="2.85546875" style="1" customWidth="1"/>
    <col min="22" max="22" width="2.5703125" style="1" customWidth="1"/>
    <col min="23" max="16384" width="9.140625" style="1"/>
  </cols>
  <sheetData>
    <row r="1" spans="2:20" ht="15.75" x14ac:dyDescent="0.25">
      <c r="B1" s="123" t="str">
        <f>IF('Instructions &amp; Reference'!C6="","",'Instructions &amp; Reference'!C6)</f>
        <v>8 &amp; Under</v>
      </c>
      <c r="C1" s="124"/>
      <c r="D1" s="124"/>
      <c r="E1" s="125"/>
      <c r="G1" s="123" t="str">
        <f>IF('Instructions &amp; Reference'!C7="","",'Instructions &amp; Reference'!C7)</f>
        <v>10 &amp; Under</v>
      </c>
      <c r="H1" s="124"/>
      <c r="I1" s="124"/>
      <c r="J1" s="125"/>
      <c r="L1" s="123" t="str">
        <f>IF('Instructions &amp; Reference'!C8="","",'Instructions &amp; Reference'!C8)</f>
        <v>Pre-Novice Female</v>
      </c>
      <c r="M1" s="124"/>
      <c r="N1" s="124"/>
      <c r="O1" s="125"/>
      <c r="Q1" s="123" t="str">
        <f>IF('Instructions &amp; Reference'!C9="","",'Instructions &amp; Reference'!C9)</f>
        <v>Pre-Novice Male</v>
      </c>
      <c r="R1" s="124"/>
      <c r="S1" s="124"/>
      <c r="T1" s="125"/>
    </row>
    <row r="2" spans="2:20" s="80" customFormat="1" x14ac:dyDescent="0.25">
      <c r="B2" s="81" t="s">
        <v>137</v>
      </c>
      <c r="C2" s="81" t="s">
        <v>81</v>
      </c>
      <c r="D2" s="81" t="s">
        <v>96</v>
      </c>
      <c r="E2" s="81" t="s">
        <v>138</v>
      </c>
      <c r="F2" s="79"/>
      <c r="G2" s="81" t="s">
        <v>137</v>
      </c>
      <c r="H2" s="81" t="s">
        <v>81</v>
      </c>
      <c r="I2" s="81" t="s">
        <v>96</v>
      </c>
      <c r="J2" s="81" t="s">
        <v>138</v>
      </c>
      <c r="K2" s="79"/>
      <c r="L2" s="81" t="s">
        <v>137</v>
      </c>
      <c r="M2" s="81" t="s">
        <v>81</v>
      </c>
      <c r="N2" s="81" t="s">
        <v>96</v>
      </c>
      <c r="O2" s="81" t="s">
        <v>138</v>
      </c>
      <c r="P2" s="79"/>
      <c r="Q2" s="81" t="s">
        <v>137</v>
      </c>
      <c r="R2" s="81" t="s">
        <v>81</v>
      </c>
      <c r="S2" s="81" t="s">
        <v>96</v>
      </c>
      <c r="T2" s="81" t="s">
        <v>138</v>
      </c>
    </row>
    <row r="3" spans="2:20" x14ac:dyDescent="0.25">
      <c r="B3" s="17" t="str">
        <f>IF(ISNA(VLOOKUP(1,Scores!$A$3:$AR$82,28,FALSE))=TRUE,"",IF(VLOOKUP(1,Scores!$A$3:$AR$82,28,FALSE)="","",(VLOOKUP(1,Scores!$A$3:$AR$82,28,FALSE))))</f>
        <v/>
      </c>
      <c r="C3" s="17" t="str">
        <f>IF(ISNA(VLOOKUP(1,Scores!$A$3:$AR$82,29,FALSE))=TRUE,"",IF(VLOOKUP(1,Scores!$A$3:$AR$82,29,FALSE)="","",(VLOOKUP(1,Scores!$A$3:$AR$82,29,FALSE))))</f>
        <v/>
      </c>
      <c r="D3" s="17" t="str">
        <f>IF(ISNA(VLOOKUP(1,Scores!$A$3:$AR$82,40,FALSE))=TRUE,"",IF(VLOOKUP(1,Scores!$A$3:$AR$82,40,FALSE)="","",(VLOOKUP(1,Scores!$A$3:$AR$82,40,FALSE))))</f>
        <v/>
      </c>
      <c r="E3" s="17" t="str">
        <f>IF(ISNA(VLOOKUP(1,Scores!$A$3:$AR$82,1,FALSE))=TRUE,"",IF(VLOOKUP(1,Scores!$A$3:$AR$82,1,FALSE)="","",(VLOOKUP(1,Scores!$A$3:$AR$82,1,FALSE))))</f>
        <v/>
      </c>
      <c r="G3" s="17" t="str">
        <f>IF(ISNA(VLOOKUP(1,Scores!$C$3:$AR$82,26,FALSE))=TRUE,"",IF(VLOOKUP(1,Scores!$C$3:$AR$82,26,FALSE)="","",(VLOOKUP(1,Scores!$C$3:$AR$82,26,FALSE))))</f>
        <v/>
      </c>
      <c r="H3" s="17" t="str">
        <f>IF(ISNA(VLOOKUP(1,Scores!$C$3:$AR$82,27,FALSE))=TRUE,"",IF(VLOOKUP(1,Scores!$C$3:$AR$82,27,FALSE)="","",(VLOOKUP(1,Scores!$C$3:$AR$82,27,FALSE))))</f>
        <v/>
      </c>
      <c r="I3" s="17" t="str">
        <f>IF(ISNA(VLOOKUP(1,Scores!$C$3:$AR$82,38,FALSE))=TRUE,"",IF(VLOOKUP(1,Scores!$C$3:$AR$82,38,FALSE)="","",(VLOOKUP(1,Scores!$C$3:$AR$82,38,FALSE))))</f>
        <v/>
      </c>
      <c r="J3" s="17" t="str">
        <f>IF(ISNA(VLOOKUP(1,Scores!$C$3:$AR$82,1,FALSE))=TRUE,"",IF(VLOOKUP(1,Scores!$C$3:$AR$82,1,FALSE)="","",(VLOOKUP(1,Scores!$C$3:$AR$82,1,FALSE))))</f>
        <v/>
      </c>
      <c r="L3" s="17" t="str">
        <f>IF(ISNA(VLOOKUP(1,Scores!$E$3:$AR$82,24,FALSE))=TRUE,"",IF(VLOOKUP(1,Scores!$E$3:$AR$82,24,FALSE)="","",(VLOOKUP(1,Scores!$E$3:$AR$82,24,FALSE))))</f>
        <v/>
      </c>
      <c r="M3" s="17" t="str">
        <f>IF(ISNA(VLOOKUP(1,Scores!$E$3:$AR$82,25,FALSE))=TRUE,"",IF(VLOOKUP(1,Scores!$E$3:$AR$82,25,FALSE)="","",(VLOOKUP(1,Scores!$E$3:$AR$82,25,FALSE))))</f>
        <v/>
      </c>
      <c r="N3" s="17" t="str">
        <f>IF(ISNA(VLOOKUP(1,Scores!$E$3:$AR$82,36,FALSE))=TRUE,"",IF(VLOOKUP(1,Scores!$E$3:$AR$82,36,FALSE)="","",(VLOOKUP(1,Scores!$E$3:$AR$82,36,FALSE))))</f>
        <v/>
      </c>
      <c r="O3" s="17" t="str">
        <f>IF(ISNA(VLOOKUP(1,Scores!$E$3:$AR$82,1,FALSE))=TRUE,"",IF(VLOOKUP(1,Scores!$E$3:$AR$82,1,FALSE)="","",(VLOOKUP(1,Scores!$E$3:$AR$82,1,FALSE))))</f>
        <v/>
      </c>
      <c r="Q3" s="17" t="str">
        <f>IF(ISNA(VLOOKUP(1,Scores!$G$3:$AR$82,22,FALSE))=TRUE,"",IF(VLOOKUP(1,Scores!$G$3:$AR$82,22,FALSE)="","",(VLOOKUP(1,Scores!$G$3:$AR$82,22,FALSE))))</f>
        <v/>
      </c>
      <c r="R3" s="17" t="str">
        <f>IF(ISNA(VLOOKUP(1,Scores!$G$3:$AR$82,23,FALSE))=TRUE,"",IF(VLOOKUP(1,Scores!$G$3:$AR$82,23,FALSE)="","",(VLOOKUP(1,Scores!$G$3:$AR$82,23,FALSE))))</f>
        <v/>
      </c>
      <c r="S3" s="17" t="str">
        <f>IF(ISNA(VLOOKUP(1,Scores!$G$3:$AR$82,34,FALSE))=TRUE,"",IF(VLOOKUP(1,Scores!$G$3:$AR$82,34,FALSE)="","",(VLOOKUP(1,Scores!$G$3:$AR$82,34,FALSE))))</f>
        <v/>
      </c>
      <c r="T3" s="17" t="str">
        <f>IF(ISNA(VLOOKUP(1,Scores!$G$3:$AR$82,1,FALSE))=TRUE,"",IF(VLOOKUP(1,Scores!$G$3:$AR$82,1,FALSE)="","",(VLOOKUP(1,Scores!$G$3:$AR$82,1,FALSE))))</f>
        <v/>
      </c>
    </row>
    <row r="4" spans="2:20" x14ac:dyDescent="0.25">
      <c r="B4" s="17" t="str">
        <f>IF(ISNA(VLOOKUP(2,Scores!$A$3:$AR$82,28,FALSE))=TRUE,"",IF(VLOOKUP(2,Scores!$A$3:$AR$82,28,FALSE)="","",(VLOOKUP(2,Scores!$A$3:$AR$82,28,FALSE))))</f>
        <v/>
      </c>
      <c r="C4" s="17" t="str">
        <f>IF(ISNA(VLOOKUP(2,Scores!$A$3:$AR$82,29,FALSE))=TRUE,"",IF(VLOOKUP(2,Scores!$A$3:$AR$82,29,FALSE)="","",(VLOOKUP(2,Scores!$A$3:$AR$82,29,FALSE))))</f>
        <v/>
      </c>
      <c r="D4" s="17" t="str">
        <f>IF(ISNA(VLOOKUP(2,Scores!$A$3:$AR$82,40,FALSE))=TRUE,"",IF(VLOOKUP(2,Scores!$A$3:$AR$82,40,FALSE)="","",(VLOOKUP(2,Scores!$A$3:$AR$82,40,FALSE))))</f>
        <v/>
      </c>
      <c r="E4" s="17" t="str">
        <f>IF(ISNA(VLOOKUP(2,Scores!$A$3:$AR$82,1,FALSE))=TRUE,"",IF(VLOOKUP(2,Scores!$A$3:$AR$82,1,FALSE)="","",(VLOOKUP(2,Scores!$A$3:$AR$82,1,FALSE))))</f>
        <v/>
      </c>
      <c r="G4" s="17" t="str">
        <f>IF(ISNA(VLOOKUP(2,Scores!$C$3:$AR$82,26,FALSE))=TRUE,"",IF(VLOOKUP(2,Scores!$C$3:$AR$82,26,FALSE)="","",(VLOOKUP(2,Scores!$C$3:$AR$82,26,FALSE))))</f>
        <v/>
      </c>
      <c r="H4" s="17" t="str">
        <f>IF(ISNA(VLOOKUP(2,Scores!$C$3:$AR$82,27,FALSE))=TRUE,"",IF(VLOOKUP(2,Scores!$C$3:$AR$82,27,FALSE)="","",(VLOOKUP(2,Scores!$C$3:$AR$82,27,FALSE))))</f>
        <v/>
      </c>
      <c r="I4" s="17" t="str">
        <f>IF(ISNA(VLOOKUP(2,Scores!$C$3:$AR$82,38,FALSE))=TRUE,"",IF(VLOOKUP(2,Scores!$C$3:$AR$82,38,FALSE)="","",(VLOOKUP(2,Scores!$C$3:$AR$82,38,FALSE))))</f>
        <v/>
      </c>
      <c r="J4" s="17" t="str">
        <f>IF(ISNA(VLOOKUP(2,Scores!$C$3:$AR$82,1,FALSE))=TRUE,"",IF(VLOOKUP(2,Scores!$C$3:$AR$82,1,FALSE)="","",(VLOOKUP(2,Scores!$C$3:$AR$82,1,FALSE))))</f>
        <v/>
      </c>
      <c r="L4" s="17" t="str">
        <f>IF(ISNA(VLOOKUP(2,Scores!$E$3:$AR$82,24,FALSE))=TRUE,"",IF(VLOOKUP(2,Scores!$E$3:$AR$82,24,FALSE)="","",(VLOOKUP(2,Scores!$E$3:$AR$82,24,FALSE))))</f>
        <v/>
      </c>
      <c r="M4" s="17" t="str">
        <f>IF(ISNA(VLOOKUP(2,Scores!$E$3:$AR$82,25,FALSE))=TRUE,"",IF(VLOOKUP(2,Scores!$E$3:$AR$82,25,FALSE)="","",(VLOOKUP(2,Scores!$E$3:$AR$82,25,FALSE))))</f>
        <v/>
      </c>
      <c r="N4" s="17" t="str">
        <f>IF(ISNA(VLOOKUP(2,Scores!$E$3:$AR$82,36,FALSE))=TRUE,"",IF(VLOOKUP(2,Scores!$E$3:$AR$82,36,FALSE)="","",(VLOOKUP(2,Scores!$E$3:$AR$82,36,FALSE))))</f>
        <v/>
      </c>
      <c r="O4" s="17" t="str">
        <f>IF(ISNA(VLOOKUP(2,Scores!$E$3:$AR$82,1,FALSE))=TRUE,"",IF(VLOOKUP(2,Scores!$E$3:$AR$82,1,FALSE)="","",(VLOOKUP(2,Scores!$E$3:$AR$82,1,FALSE))))</f>
        <v/>
      </c>
      <c r="Q4" s="17" t="str">
        <f>IF(ISNA(VLOOKUP(2,Scores!$G$3:$AR$82,22,FALSE))=TRUE,"",IF(VLOOKUP(2,Scores!$G$3:$AR$82,22,FALSE)="","",(VLOOKUP(2,Scores!$G$3:$AR$82,22,FALSE))))</f>
        <v/>
      </c>
      <c r="R4" s="17" t="str">
        <f>IF(ISNA(VLOOKUP(2,Scores!$G$3:$AR$82,23,FALSE))=TRUE,"",IF(VLOOKUP(2,Scores!$G$3:$AR$82,23,FALSE)="","",(VLOOKUP(2,Scores!$G$3:$AR$82,23,FALSE))))</f>
        <v/>
      </c>
      <c r="S4" s="17" t="str">
        <f>IF(ISNA(VLOOKUP(2,Scores!$G$3:$AR$82,34,FALSE))=TRUE,"",IF(VLOOKUP(2,Scores!$G$3:$AR$82,34,FALSE)="","",(VLOOKUP(2,Scores!$G$3:$AR$82,34,FALSE))))</f>
        <v/>
      </c>
      <c r="T4" s="17" t="str">
        <f>IF(ISNA(VLOOKUP(2,Scores!$G$3:$AR$82,1,FALSE))=TRUE,"",IF(VLOOKUP(2,Scores!$G$3:$AR$82,1,FALSE)="","",(VLOOKUP(2,Scores!$G$3:$AR$82,1,FALSE))))</f>
        <v/>
      </c>
    </row>
    <row r="5" spans="2:20" x14ac:dyDescent="0.25">
      <c r="B5" s="17" t="str">
        <f>IF(ISNA(VLOOKUP(3,Scores!$A$3:$AR$82,28,FALSE))=TRUE,"",IF(VLOOKUP(3,Scores!$A$3:$AR$82,28,FALSE)="","",(VLOOKUP(3,Scores!$A$3:$AR$82,28,FALSE))))</f>
        <v/>
      </c>
      <c r="C5" s="17" t="str">
        <f>IF(ISNA(VLOOKUP(3,Scores!$A$3:$AR$82,29,FALSE))=TRUE,"",IF(VLOOKUP(3,Scores!$A$3:$AR$82,29,FALSE)="","",(VLOOKUP(3,Scores!$A$3:$AR$82,29,FALSE))))</f>
        <v/>
      </c>
      <c r="D5" s="17" t="str">
        <f>IF(ISNA(VLOOKUP(3,Scores!$A$3:$AR$82,40,FALSE))=TRUE,"",IF(VLOOKUP(3,Scores!$A$3:$AR$82,40,FALSE)="","",(VLOOKUP(3,Scores!$A$3:$AR$82,40,FALSE))))</f>
        <v/>
      </c>
      <c r="E5" s="17" t="str">
        <f>IF(ISNA(VLOOKUP(3,Scores!$A$3:$AR$82,1,FALSE))=TRUE,"",IF(VLOOKUP(3,Scores!$A$3:$AR$82,1,FALSE)="","",(VLOOKUP(3,Scores!$A$3:$AR$82,1,FALSE))))</f>
        <v/>
      </c>
      <c r="G5" s="17" t="str">
        <f>IF(ISNA(VLOOKUP(3,Scores!$C$3:$AR$82,26,FALSE))=TRUE,"",IF(VLOOKUP(3,Scores!$C$3:$AR$82,26,FALSE)="","",(VLOOKUP(3,Scores!$C$3:$AR$82,26,FALSE))))</f>
        <v/>
      </c>
      <c r="H5" s="17" t="str">
        <f>IF(ISNA(VLOOKUP(3,Scores!$C$3:$AR$82,27,FALSE))=TRUE,"",IF(VLOOKUP(3,Scores!$C$3:$AR$82,27,FALSE)="","",(VLOOKUP(3,Scores!$C$3:$AR$82,27,FALSE))))</f>
        <v/>
      </c>
      <c r="I5" s="17" t="str">
        <f>IF(ISNA(VLOOKUP(3,Scores!$C$3:$AR$82,38,FALSE))=TRUE,"",IF(VLOOKUP(3,Scores!$C$3:$AR$82,38,FALSE)="","",(VLOOKUP(3,Scores!$C$3:$AR$82,38,FALSE))))</f>
        <v/>
      </c>
      <c r="J5" s="17" t="str">
        <f>IF(ISNA(VLOOKUP(3,Scores!$C$3:$AR$82,1,FALSE))=TRUE,"",IF(VLOOKUP(3,Scores!$C$3:$AR$82,1,FALSE)="","",(VLOOKUP(3,Scores!$C$3:$AR$82,1,FALSE))))</f>
        <v/>
      </c>
      <c r="L5" s="17" t="str">
        <f>IF(ISNA(VLOOKUP(3,Scores!$E$3:$AR$82,24,FALSE))=TRUE,"",IF(VLOOKUP(3,Scores!$E$3:$AR$82,24,FALSE)="","",(VLOOKUP(3,Scores!$E$3:$AR$82,24,FALSE))))</f>
        <v/>
      </c>
      <c r="M5" s="17" t="str">
        <f>IF(ISNA(VLOOKUP(3,Scores!$E$3:$AR$82,25,FALSE))=TRUE,"",IF(VLOOKUP(3,Scores!$E$3:$AR$82,25,FALSE)="","",(VLOOKUP(3,Scores!$E$3:$AR$82,25,FALSE))))</f>
        <v/>
      </c>
      <c r="N5" s="17" t="str">
        <f>IF(ISNA(VLOOKUP(3,Scores!$E$3:$AR$82,36,FALSE))=TRUE,"",IF(VLOOKUP(3,Scores!$E$3:$AR$82,36,FALSE)="","",(VLOOKUP(3,Scores!$E$3:$AR$82,36,FALSE))))</f>
        <v/>
      </c>
      <c r="O5" s="17" t="str">
        <f>IF(ISNA(VLOOKUP(3,Scores!$E$3:$AR$82,1,FALSE))=TRUE,"",IF(VLOOKUP(3,Scores!$E$3:$AR$82,1,FALSE)="","",(VLOOKUP(3,Scores!$E$3:$AR$82,1,FALSE))))</f>
        <v/>
      </c>
      <c r="Q5" s="17" t="str">
        <f>IF(ISNA(VLOOKUP(3,Scores!$G$3:$AR$82,22,FALSE))=TRUE,"",IF(VLOOKUP(3,Scores!$G$3:$AR$82,22,FALSE)="","",(VLOOKUP(3,Scores!$G$3:$AR$82,22,FALSE))))</f>
        <v/>
      </c>
      <c r="R5" s="17" t="str">
        <f>IF(ISNA(VLOOKUP(3,Scores!$G$3:$AR$82,23,FALSE))=TRUE,"",IF(VLOOKUP(3,Scores!$G$3:$AR$82,23,FALSE)="","",(VLOOKUP(3,Scores!$G$3:$AR$82,23,FALSE))))</f>
        <v/>
      </c>
      <c r="S5" s="17" t="str">
        <f>IF(ISNA(VLOOKUP(3,Scores!$G$3:$AR$82,34,FALSE))=TRUE,"",IF(VLOOKUP(3,Scores!$G$3:$AR$82,34,FALSE)="","",(VLOOKUP(3,Scores!$G$3:$AR$82,34,FALSE))))</f>
        <v/>
      </c>
      <c r="T5" s="17" t="str">
        <f>IF(ISNA(VLOOKUP(3,Scores!$G$3:$AR$82,1,FALSE))=TRUE,"",IF(VLOOKUP(3,Scores!$G$3:$AR$82,1,FALSE)="","",(VLOOKUP(3,Scores!$G$3:$AR$82,1,FALSE))))</f>
        <v/>
      </c>
    </row>
    <row r="6" spans="2:20" x14ac:dyDescent="0.25">
      <c r="B6" s="17" t="str">
        <f>IF(ISNA(VLOOKUP(4,Scores!$A$3:$AR$82,28,FALSE))=TRUE,"",IF(VLOOKUP(4,Scores!$A$3:$AR$82,28,FALSE)="","",(VLOOKUP(4,Scores!$A$3:$AR$82,28,FALSE))))</f>
        <v/>
      </c>
      <c r="C6" s="17" t="str">
        <f>IF(ISNA(VLOOKUP(4,Scores!$A$3:$AR$82,29,FALSE))=TRUE,"",IF(VLOOKUP(4,Scores!$A$3:$AR$82,29,FALSE)="","",(VLOOKUP(4,Scores!$A$3:$AR$82,29,FALSE))))</f>
        <v/>
      </c>
      <c r="D6" s="17" t="str">
        <f>IF(ISNA(VLOOKUP(4,Scores!$A$3:$AR$82,40,FALSE))=TRUE,"",IF(VLOOKUP(4,Scores!$A$3:$AR$82,40,FALSE)="","",(VLOOKUP(4,Scores!$A$3:$AR$82,40,FALSE))))</f>
        <v/>
      </c>
      <c r="E6" s="17" t="str">
        <f>IF(ISNA(VLOOKUP(4,Scores!$A$3:$AR$82,1,FALSE))=TRUE,"",IF(VLOOKUP(4,Scores!$A$3:$AR$82,1,FALSE)="","",(VLOOKUP(4,Scores!$A$3:$AR$82,1,FALSE))))</f>
        <v/>
      </c>
      <c r="G6" s="17" t="str">
        <f>IF(ISNA(VLOOKUP(4,Scores!$C$3:$AR$82,26,FALSE))=TRUE,"",IF(VLOOKUP(4,Scores!$C$3:$AR$82,26,FALSE)="","",(VLOOKUP(4,Scores!$C$3:$AR$82,26,FALSE))))</f>
        <v/>
      </c>
      <c r="H6" s="17" t="str">
        <f>IF(ISNA(VLOOKUP(4,Scores!$C$3:$AR$82,27,FALSE))=TRUE,"",IF(VLOOKUP(4,Scores!$C$3:$AR$82,27,FALSE)="","",(VLOOKUP(4,Scores!$C$3:$AR$82,27,FALSE))))</f>
        <v/>
      </c>
      <c r="I6" s="17" t="str">
        <f>IF(ISNA(VLOOKUP(4,Scores!$C$3:$AR$82,38,FALSE))=TRUE,"",IF(VLOOKUP(4,Scores!$C$3:$AR$82,38,FALSE)="","",(VLOOKUP(4,Scores!$C$3:$AR$82,38,FALSE))))</f>
        <v/>
      </c>
      <c r="J6" s="17" t="str">
        <f>IF(ISNA(VLOOKUP(4,Scores!$C$3:$AR$82,1,FALSE))=TRUE,"",IF(VLOOKUP(4,Scores!$C$3:$AR$82,1,FALSE)="","",(VLOOKUP(4,Scores!$C$3:$AR$82,1,FALSE))))</f>
        <v/>
      </c>
      <c r="L6" s="17" t="str">
        <f>IF(ISNA(VLOOKUP(4,Scores!$E$3:$AR$82,24,FALSE))=TRUE,"",IF(VLOOKUP(4,Scores!$E$3:$AR$82,24,FALSE)="","",(VLOOKUP(4,Scores!$E$3:$AR$82,24,FALSE))))</f>
        <v/>
      </c>
      <c r="M6" s="17" t="str">
        <f>IF(ISNA(VLOOKUP(4,Scores!$E$3:$AR$82,25,FALSE))=TRUE,"",IF(VLOOKUP(4,Scores!$E$3:$AR$82,25,FALSE)="","",(VLOOKUP(4,Scores!$E$3:$AR$82,25,FALSE))))</f>
        <v/>
      </c>
      <c r="N6" s="17" t="str">
        <f>IF(ISNA(VLOOKUP(4,Scores!$E$3:$AR$82,36,FALSE))=TRUE,"",IF(VLOOKUP(4,Scores!$E$3:$AR$82,36,FALSE)="","",(VLOOKUP(4,Scores!$E$3:$AR$82,36,FALSE))))</f>
        <v/>
      </c>
      <c r="O6" s="17" t="str">
        <f>IF(ISNA(VLOOKUP(4,Scores!$E$3:$AR$82,1,FALSE))=TRUE,"",IF(VLOOKUP(4,Scores!$E$3:$AR$82,1,FALSE)="","",(VLOOKUP(4,Scores!$E$3:$AR$82,1,FALSE))))</f>
        <v/>
      </c>
      <c r="Q6" s="17" t="str">
        <f>IF(ISNA(VLOOKUP(4,Scores!$G$3:$AR$82,22,FALSE))=TRUE,"",IF(VLOOKUP(4,Scores!$G$3:$AR$82,22,FALSE)="","",(VLOOKUP(4,Scores!$G$3:$AR$82,22,FALSE))))</f>
        <v/>
      </c>
      <c r="R6" s="17" t="str">
        <f>IF(ISNA(VLOOKUP(4,Scores!$G$3:$AR$82,23,FALSE))=TRUE,"",IF(VLOOKUP(4,Scores!$G$3:$AR$82,23,FALSE)="","",(VLOOKUP(4,Scores!$G$3:$AR$82,23,FALSE))))</f>
        <v/>
      </c>
      <c r="S6" s="17" t="str">
        <f>IF(ISNA(VLOOKUP(4,Scores!$G$3:$AR$82,34,FALSE))=TRUE,"",IF(VLOOKUP(4,Scores!$G$3:$AR$82,34,FALSE)="","",(VLOOKUP(4,Scores!$G$3:$AR$82,34,FALSE))))</f>
        <v/>
      </c>
      <c r="T6" s="17" t="str">
        <f>IF(ISNA(VLOOKUP(4,Scores!$G$3:$AR$82,1,FALSE))=TRUE,"",IF(VLOOKUP(4,Scores!$G$3:$AR$82,1,FALSE)="","",(VLOOKUP(4,Scores!$G$3:$AR$82,1,FALSE))))</f>
        <v/>
      </c>
    </row>
    <row r="7" spans="2:20" x14ac:dyDescent="0.25">
      <c r="B7" s="17" t="str">
        <f>IF(ISNA(VLOOKUP(5,Scores!$A$3:$AR$82,28,FALSE))=TRUE,"",IF(VLOOKUP(5,Scores!$A$3:$AR$82,28,FALSE)="","",(VLOOKUP(5,Scores!$A$3:$AR$82,28,FALSE))))</f>
        <v/>
      </c>
      <c r="C7" s="17" t="str">
        <f>IF(ISNA(VLOOKUP(5,Scores!$A$3:$AR$82,29,FALSE))=TRUE,"",IF(VLOOKUP(5,Scores!$A$3:$AR$82,29,FALSE)="","",(VLOOKUP(5,Scores!$A$3:$AR$82,29,FALSE))))</f>
        <v/>
      </c>
      <c r="D7" s="17" t="str">
        <f>IF(ISNA(VLOOKUP(5,Scores!$A$3:$AR$82,40,FALSE))=TRUE,"",IF(VLOOKUP(5,Scores!$A$3:$AR$82,40,FALSE)="","",(VLOOKUP(5,Scores!$A$3:$AR$82,40,FALSE))))</f>
        <v/>
      </c>
      <c r="E7" s="17" t="str">
        <f>IF(ISNA(VLOOKUP(5,Scores!$A$3:$AR$82,1,FALSE))=TRUE,"",IF(VLOOKUP(5,Scores!$A$3:$AR$82,1,FALSE)="","",(VLOOKUP(5,Scores!$A$3:$AR$82,1,FALSE))))</f>
        <v/>
      </c>
      <c r="G7" s="17" t="str">
        <f>IF(ISNA(VLOOKUP(5,Scores!$C$3:$AR$82,26,FALSE))=TRUE,"",IF(VLOOKUP(5,Scores!$C$3:$AR$82,26,FALSE)="","",(VLOOKUP(5,Scores!$C$3:$AR$82,26,FALSE))))</f>
        <v/>
      </c>
      <c r="H7" s="17" t="str">
        <f>IF(ISNA(VLOOKUP(5,Scores!$C$3:$AR$82,27,FALSE))=TRUE,"",IF(VLOOKUP(5,Scores!$C$3:$AR$82,27,FALSE)="","",(VLOOKUP(5,Scores!$C$3:$AR$82,27,FALSE))))</f>
        <v/>
      </c>
      <c r="I7" s="17" t="str">
        <f>IF(ISNA(VLOOKUP(5,Scores!$C$3:$AR$82,38,FALSE))=TRUE,"",IF(VLOOKUP(5,Scores!$C$3:$AR$82,38,FALSE)="","",(VLOOKUP(5,Scores!$C$3:$AR$82,38,FALSE))))</f>
        <v/>
      </c>
      <c r="J7" s="17" t="str">
        <f>IF(ISNA(VLOOKUP(5,Scores!$C$3:$AR$82,1,FALSE))=TRUE,"",IF(VLOOKUP(5,Scores!$C$3:$AR$82,1,FALSE)="","",(VLOOKUP(5,Scores!$C$3:$AR$82,1,FALSE))))</f>
        <v/>
      </c>
      <c r="L7" s="17" t="str">
        <f>IF(ISNA(VLOOKUP(5,Scores!$E$3:$AR$82,24,FALSE))=TRUE,"",IF(VLOOKUP(5,Scores!$E$3:$AR$82,24,FALSE)="","",(VLOOKUP(5,Scores!$E$3:$AR$82,24,FALSE))))</f>
        <v/>
      </c>
      <c r="M7" s="17" t="str">
        <f>IF(ISNA(VLOOKUP(5,Scores!$E$3:$AR$82,25,FALSE))=TRUE,"",IF(VLOOKUP(5,Scores!$E$3:$AR$82,25,FALSE)="","",(VLOOKUP(5,Scores!$E$3:$AR$82,25,FALSE))))</f>
        <v/>
      </c>
      <c r="N7" s="17" t="str">
        <f>IF(ISNA(VLOOKUP(5,Scores!$E$3:$AR$82,36,FALSE))=TRUE,"",IF(VLOOKUP(5,Scores!$E$3:$AR$82,36,FALSE)="","",(VLOOKUP(5,Scores!$E$3:$AR$82,36,FALSE))))</f>
        <v/>
      </c>
      <c r="O7" s="17" t="str">
        <f>IF(ISNA(VLOOKUP(5,Scores!$E$3:$AR$82,1,FALSE))=TRUE,"",IF(VLOOKUP(5,Scores!$E$3:$AR$82,1,FALSE)="","",(VLOOKUP(5,Scores!$E$3:$AR$82,1,FALSE))))</f>
        <v/>
      </c>
      <c r="Q7" s="17" t="str">
        <f>IF(ISNA(VLOOKUP(5,Scores!$G$3:$AR$82,22,FALSE))=TRUE,"",IF(VLOOKUP(5,Scores!$G$3:$AR$82,22,FALSE)="","",(VLOOKUP(5,Scores!$G$3:$AR$82,22,FALSE))))</f>
        <v/>
      </c>
      <c r="R7" s="17" t="str">
        <f>IF(ISNA(VLOOKUP(5,Scores!$G$3:$AR$82,23,FALSE))=TRUE,"",IF(VLOOKUP(5,Scores!$G$3:$AR$82,23,FALSE)="","",(VLOOKUP(5,Scores!$G$3:$AR$82,23,FALSE))))</f>
        <v/>
      </c>
      <c r="S7" s="17" t="str">
        <f>IF(ISNA(VLOOKUP(5,Scores!$G$3:$AR$82,34,FALSE))=TRUE,"",IF(VLOOKUP(5,Scores!$G$3:$AR$82,34,FALSE)="","",(VLOOKUP(5,Scores!$G$3:$AR$82,34,FALSE))))</f>
        <v/>
      </c>
      <c r="T7" s="17" t="str">
        <f>IF(ISNA(VLOOKUP(5,Scores!$G$3:$AR$82,1,FALSE))=TRUE,"",IF(VLOOKUP(5,Scores!$G$3:$AR$82,1,FALSE)="","",(VLOOKUP(5,Scores!$G$3:$AR$82,1,FALSE))))</f>
        <v/>
      </c>
    </row>
    <row r="8" spans="2:20" x14ac:dyDescent="0.25">
      <c r="B8" s="17" t="str">
        <f>IF(ISNA(VLOOKUP(6,Scores!$A$3:$AR$82,28,FALSE))=TRUE,"",IF(VLOOKUP(6,Scores!$A$3:$AR$82,28,FALSE)="","",(VLOOKUP(6,Scores!$A$3:$AR$82,28,FALSE))))</f>
        <v/>
      </c>
      <c r="C8" s="17" t="str">
        <f>IF(ISNA(VLOOKUP(6,Scores!$A$3:$AR$82,29,FALSE))=TRUE,"",IF(VLOOKUP(6,Scores!$A$3:$AR$82,29,FALSE)="","",(VLOOKUP(6,Scores!$A$3:$AR$82,29,FALSE))))</f>
        <v/>
      </c>
      <c r="D8" s="17" t="str">
        <f>IF(ISNA(VLOOKUP(6,Scores!$A$3:$AR$82,40,FALSE))=TRUE,"",IF(VLOOKUP(6,Scores!$A$3:$AR$82,40,FALSE)="","",(VLOOKUP(6,Scores!$A$3:$AR$82,40,FALSE))))</f>
        <v/>
      </c>
      <c r="E8" s="17" t="str">
        <f>IF(ISNA(VLOOKUP(6,Scores!$A$3:$AR$82,1,FALSE))=TRUE,"",IF(VLOOKUP(6,Scores!$A$3:$AR$82,1,FALSE)="","",(VLOOKUP(6,Scores!$A$3:$AR$82,1,FALSE))))</f>
        <v/>
      </c>
      <c r="G8" s="17" t="str">
        <f>IF(ISNA(VLOOKUP(6,Scores!$C$3:$AR$82,26,FALSE))=TRUE,"",IF(VLOOKUP(6,Scores!$C$3:$AR$82,26,FALSE)="","",(VLOOKUP(6,Scores!$C$3:$AR$82,26,FALSE))))</f>
        <v/>
      </c>
      <c r="H8" s="17" t="str">
        <f>IF(ISNA(VLOOKUP(6,Scores!$C$3:$AR$82,27,FALSE))=TRUE,"",IF(VLOOKUP(6,Scores!$C$3:$AR$82,27,FALSE)="","",(VLOOKUP(6,Scores!$C$3:$AR$82,27,FALSE))))</f>
        <v/>
      </c>
      <c r="I8" s="17" t="str">
        <f>IF(ISNA(VLOOKUP(6,Scores!$C$3:$AR$82,38,FALSE))=TRUE,"",IF(VLOOKUP(6,Scores!$C$3:$AR$82,38,FALSE)="","",(VLOOKUP(6,Scores!$C$3:$AR$82,38,FALSE))))</f>
        <v/>
      </c>
      <c r="J8" s="17" t="str">
        <f>IF(ISNA(VLOOKUP(6,Scores!$C$3:$AR$82,1,FALSE))=TRUE,"",IF(VLOOKUP(6,Scores!$C$3:$AR$82,1,FALSE)="","",(VLOOKUP(6,Scores!$C$3:$AR$82,1,FALSE))))</f>
        <v/>
      </c>
      <c r="L8" s="17" t="str">
        <f>IF(ISNA(VLOOKUP(6,Scores!$E$3:$AR$82,24,FALSE))=TRUE,"",IF(VLOOKUP(6,Scores!$E$3:$AR$82,24,FALSE)="","",(VLOOKUP(6,Scores!$E$3:$AR$82,24,FALSE))))</f>
        <v/>
      </c>
      <c r="M8" s="17" t="str">
        <f>IF(ISNA(VLOOKUP(6,Scores!$E$3:$AR$82,25,FALSE))=TRUE,"",IF(VLOOKUP(6,Scores!$E$3:$AR$82,25,FALSE)="","",(VLOOKUP(6,Scores!$E$3:$AR$82,25,FALSE))))</f>
        <v/>
      </c>
      <c r="N8" s="17" t="str">
        <f>IF(ISNA(VLOOKUP(6,Scores!$E$3:$AR$82,36,FALSE))=TRUE,"",IF(VLOOKUP(6,Scores!$E$3:$AR$82,36,FALSE)="","",(VLOOKUP(6,Scores!$E$3:$AR$82,36,FALSE))))</f>
        <v/>
      </c>
      <c r="O8" s="17" t="str">
        <f>IF(ISNA(VLOOKUP(6,Scores!$E$3:$AR$82,1,FALSE))=TRUE,"",IF(VLOOKUP(6,Scores!$E$3:$AR$82,1,FALSE)="","",(VLOOKUP(6,Scores!$E$3:$AR$82,1,FALSE))))</f>
        <v/>
      </c>
      <c r="Q8" s="17" t="str">
        <f>IF(ISNA(VLOOKUP(6,Scores!$G$3:$AR$82,22,FALSE))=TRUE,"",IF(VLOOKUP(6,Scores!$G$3:$AR$82,22,FALSE)="","",(VLOOKUP(6,Scores!$G$3:$AR$82,22,FALSE))))</f>
        <v/>
      </c>
      <c r="R8" s="17" t="str">
        <f>IF(ISNA(VLOOKUP(6,Scores!$G$3:$AR$82,23,FALSE))=TRUE,"",IF(VLOOKUP(6,Scores!$G$3:$AR$82,23,FALSE)="","",(VLOOKUP(6,Scores!$G$3:$AR$82,23,FALSE))))</f>
        <v/>
      </c>
      <c r="S8" s="17" t="str">
        <f>IF(ISNA(VLOOKUP(6,Scores!$G$3:$AR$82,34,FALSE))=TRUE,"",IF(VLOOKUP(6,Scores!$G$3:$AR$82,34,FALSE)="","",(VLOOKUP(6,Scores!$G$3:$AR$82,34,FALSE))))</f>
        <v/>
      </c>
      <c r="T8" s="17" t="str">
        <f>IF(ISNA(VLOOKUP(6,Scores!$G$3:$AR$82,1,FALSE))=TRUE,"",IF(VLOOKUP(6,Scores!$G$3:$AR$82,1,FALSE)="","",(VLOOKUP(6,Scores!$G$3:$AR$82,1,FALSE))))</f>
        <v/>
      </c>
    </row>
    <row r="9" spans="2:20" x14ac:dyDescent="0.25">
      <c r="B9" s="17" t="str">
        <f>IF(ISNA(VLOOKUP(7,Scores!$A$3:$AR$82,28,FALSE))=TRUE,"",IF(VLOOKUP(7,Scores!$A$3:$AR$82,28,FALSE)="","",(VLOOKUP(7,Scores!$A$3:$AR$82,28,FALSE))))</f>
        <v/>
      </c>
      <c r="C9" s="17" t="str">
        <f>IF(ISNA(VLOOKUP(7,Scores!$A$3:$AR$82,29,FALSE))=TRUE,"",IF(VLOOKUP(7,Scores!$A$3:$AR$82,29,FALSE)="","",(VLOOKUP(7,Scores!$A$3:$AR$82,29,FALSE))))</f>
        <v/>
      </c>
      <c r="D9" s="17" t="str">
        <f>IF(ISNA(VLOOKUP(7,Scores!$A$3:$AR$82,40,FALSE))=TRUE,"",IF(VLOOKUP(7,Scores!$A$3:$AR$82,40,FALSE)="","",(VLOOKUP(7,Scores!$A$3:$AR$82,40,FALSE))))</f>
        <v/>
      </c>
      <c r="E9" s="17" t="str">
        <f>IF(ISNA(VLOOKUP(7,Scores!$A$3:$AR$82,1,FALSE))=TRUE,"",IF(VLOOKUP(7,Scores!$A$3:$AR$82,1,FALSE)="","",(VLOOKUP(7,Scores!$A$3:$AR$82,1,FALSE))))</f>
        <v/>
      </c>
      <c r="G9" s="17" t="str">
        <f>IF(ISNA(VLOOKUP(7,Scores!$C$3:$AR$82,26,FALSE))=TRUE,"",IF(VLOOKUP(7,Scores!$C$3:$AR$82,26,FALSE)="","",(VLOOKUP(7,Scores!$C$3:$AR$82,26,FALSE))))</f>
        <v/>
      </c>
      <c r="H9" s="17" t="str">
        <f>IF(ISNA(VLOOKUP(7,Scores!$C$3:$AR$82,27,FALSE))=TRUE,"",IF(VLOOKUP(7,Scores!$C$3:$AR$82,27,FALSE)="","",(VLOOKUP(7,Scores!$C$3:$AR$82,27,FALSE))))</f>
        <v/>
      </c>
      <c r="I9" s="17" t="str">
        <f>IF(ISNA(VLOOKUP(7,Scores!$C$3:$AR$82,38,FALSE))=TRUE,"",IF(VLOOKUP(7,Scores!$C$3:$AR$82,38,FALSE)="","",(VLOOKUP(7,Scores!$C$3:$AR$82,38,FALSE))))</f>
        <v/>
      </c>
      <c r="J9" s="17" t="str">
        <f>IF(ISNA(VLOOKUP(7,Scores!$C$3:$AR$82,1,FALSE))=TRUE,"",IF(VLOOKUP(7,Scores!$C$3:$AR$82,1,FALSE)="","",(VLOOKUP(7,Scores!$C$3:$AR$82,1,FALSE))))</f>
        <v/>
      </c>
      <c r="L9" s="17" t="str">
        <f>IF(ISNA(VLOOKUP(7,Scores!$E$3:$AR$82,24,FALSE))=TRUE,"",IF(VLOOKUP(7,Scores!$E$3:$AR$82,24,FALSE)="","",(VLOOKUP(7,Scores!$E$3:$AR$82,24,FALSE))))</f>
        <v/>
      </c>
      <c r="M9" s="17" t="str">
        <f>IF(ISNA(VLOOKUP(7,Scores!$E$3:$AR$82,25,FALSE))=TRUE,"",IF(VLOOKUP(7,Scores!$E$3:$AR$82,25,FALSE)="","",(VLOOKUP(7,Scores!$E$3:$AR$82,25,FALSE))))</f>
        <v/>
      </c>
      <c r="N9" s="17" t="str">
        <f>IF(ISNA(VLOOKUP(7,Scores!$E$3:$AR$82,36,FALSE))=TRUE,"",IF(VLOOKUP(7,Scores!$E$3:$AR$82,36,FALSE)="","",(VLOOKUP(7,Scores!$E$3:$AR$82,36,FALSE))))</f>
        <v/>
      </c>
      <c r="O9" s="17" t="str">
        <f>IF(ISNA(VLOOKUP(7,Scores!$E$3:$AR$82,1,FALSE))=TRUE,"",IF(VLOOKUP(7,Scores!$E$3:$AR$82,1,FALSE)="","",(VLOOKUP(7,Scores!$E$3:$AR$82,1,FALSE))))</f>
        <v/>
      </c>
      <c r="Q9" s="17" t="str">
        <f>IF(ISNA(VLOOKUP(7,Scores!$G$3:$AR$82,22,FALSE))=TRUE,"",IF(VLOOKUP(7,Scores!$G$3:$AR$82,22,FALSE)="","",(VLOOKUP(7,Scores!$G$3:$AR$82,22,FALSE))))</f>
        <v/>
      </c>
      <c r="R9" s="17" t="str">
        <f>IF(ISNA(VLOOKUP(7,Scores!$G$3:$AR$82,23,FALSE))=TRUE,"",IF(VLOOKUP(7,Scores!$G$3:$AR$82,23,FALSE)="","",(VLOOKUP(7,Scores!$G$3:$AR$82,23,FALSE))))</f>
        <v/>
      </c>
      <c r="S9" s="17" t="str">
        <f>IF(ISNA(VLOOKUP(7,Scores!$G$3:$AR$82,34,FALSE))=TRUE,"",IF(VLOOKUP(7,Scores!$G$3:$AR$82,34,FALSE)="","",(VLOOKUP(7,Scores!$G$3:$AR$82,34,FALSE))))</f>
        <v/>
      </c>
      <c r="T9" s="17" t="str">
        <f>IF(ISNA(VLOOKUP(7,Scores!$G$3:$AR$82,1,FALSE))=TRUE,"",IF(VLOOKUP(7,Scores!$G$3:$AR$82,1,FALSE)="","",(VLOOKUP(7,Scores!$G$3:$AR$82,1,FALSE))))</f>
        <v/>
      </c>
    </row>
    <row r="10" spans="2:20" x14ac:dyDescent="0.25">
      <c r="B10" s="17" t="str">
        <f>IF(ISNA(VLOOKUP(8,Scores!$A$3:$AR$82,28,FALSE))=TRUE,"",IF(VLOOKUP(8,Scores!$A$3:$AR$82,28,FALSE)="","",(VLOOKUP(8,Scores!$A$3:$AR$82,28,FALSE))))</f>
        <v/>
      </c>
      <c r="C10" s="17" t="str">
        <f>IF(ISNA(VLOOKUP(8,Scores!$A$3:$AR$82,29,FALSE))=TRUE,"",IF(VLOOKUP(8,Scores!$A$3:$AR$82,29,FALSE)="","",(VLOOKUP(8,Scores!$A$3:$AR$82,29,FALSE))))</f>
        <v/>
      </c>
      <c r="D10" s="17" t="str">
        <f>IF(ISNA(VLOOKUP(8,Scores!$A$3:$AR$82,40,FALSE))=TRUE,"",IF(VLOOKUP(8,Scores!$A$3:$AR$82,40,FALSE)="","",(VLOOKUP(8,Scores!$A$3:$AR$82,40,FALSE))))</f>
        <v/>
      </c>
      <c r="E10" s="17" t="str">
        <f>IF(ISNA(VLOOKUP(8,Scores!$A$3:$AR$82,1,FALSE))=TRUE,"",IF(VLOOKUP(8,Scores!$A$3:$AR$82,1,FALSE)="","",(VLOOKUP(8,Scores!$A$3:$AR$82,1,FALSE))))</f>
        <v/>
      </c>
      <c r="G10" s="17" t="str">
        <f>IF(ISNA(VLOOKUP(8,Scores!$C$3:$AR$82,26,FALSE))=TRUE,"",IF(VLOOKUP(8,Scores!$C$3:$AR$82,26,FALSE)="","",(VLOOKUP(8,Scores!$C$3:$AR$82,26,FALSE))))</f>
        <v/>
      </c>
      <c r="H10" s="17" t="str">
        <f>IF(ISNA(VLOOKUP(8,Scores!$C$3:$AR$82,27,FALSE))=TRUE,"",IF(VLOOKUP(8,Scores!$C$3:$AR$82,27,FALSE)="","",(VLOOKUP(8,Scores!$C$3:$AR$82,27,FALSE))))</f>
        <v/>
      </c>
      <c r="I10" s="17" t="str">
        <f>IF(ISNA(VLOOKUP(8,Scores!$C$3:$AR$82,38,FALSE))=TRUE,"",IF(VLOOKUP(8,Scores!$C$3:$AR$82,38,FALSE)="","",(VLOOKUP(8,Scores!$C$3:$AR$82,38,FALSE))))</f>
        <v/>
      </c>
      <c r="J10" s="17" t="str">
        <f>IF(ISNA(VLOOKUP(8,Scores!$C$3:$AR$82,1,FALSE))=TRUE,"",IF(VLOOKUP(8,Scores!$C$3:$AR$82,1,FALSE)="","",(VLOOKUP(8,Scores!$C$3:$AR$82,1,FALSE))))</f>
        <v/>
      </c>
      <c r="L10" s="17" t="str">
        <f>IF(ISNA(VLOOKUP(8,Scores!$E$3:$AR$82,24,FALSE))=TRUE,"",IF(VLOOKUP(8,Scores!$E$3:$AR$82,24,FALSE)="","",(VLOOKUP(8,Scores!$E$3:$AR$82,24,FALSE))))</f>
        <v/>
      </c>
      <c r="M10" s="17" t="str">
        <f>IF(ISNA(VLOOKUP(8,Scores!$E$3:$AR$82,25,FALSE))=TRUE,"",IF(VLOOKUP(8,Scores!$E$3:$AR$82,25,FALSE)="","",(VLOOKUP(8,Scores!$E$3:$AR$82,25,FALSE))))</f>
        <v/>
      </c>
      <c r="N10" s="17" t="str">
        <f>IF(ISNA(VLOOKUP(8,Scores!$E$3:$AR$82,36,FALSE))=TRUE,"",IF(VLOOKUP(8,Scores!$E$3:$AR$82,36,FALSE)="","",(VLOOKUP(8,Scores!$E$3:$AR$82,36,FALSE))))</f>
        <v/>
      </c>
      <c r="O10" s="17" t="str">
        <f>IF(ISNA(VLOOKUP(8,Scores!$E$3:$AR$82,1,FALSE))=TRUE,"",IF(VLOOKUP(8,Scores!$E$3:$AR$82,1,FALSE)="","",(VLOOKUP(8,Scores!$E$3:$AR$82,1,FALSE))))</f>
        <v/>
      </c>
      <c r="Q10" s="17" t="str">
        <f>IF(ISNA(VLOOKUP(8,Scores!$G$3:$AR$82,22,FALSE))=TRUE,"",IF(VLOOKUP(8,Scores!$G$3:$AR$82,22,FALSE)="","",(VLOOKUP(8,Scores!$G$3:$AR$82,22,FALSE))))</f>
        <v/>
      </c>
      <c r="R10" s="17" t="str">
        <f>IF(ISNA(VLOOKUP(8,Scores!$G$3:$AR$82,23,FALSE))=TRUE,"",IF(VLOOKUP(8,Scores!$G$3:$AR$82,23,FALSE)="","",(VLOOKUP(8,Scores!$G$3:$AR$82,23,FALSE))))</f>
        <v/>
      </c>
      <c r="S10" s="17" t="str">
        <f>IF(ISNA(VLOOKUP(8,Scores!$G$3:$AR$82,34,FALSE))=TRUE,"",IF(VLOOKUP(8,Scores!$G$3:$AR$82,34,FALSE)="","",(VLOOKUP(8,Scores!$G$3:$AR$82,34,FALSE))))</f>
        <v/>
      </c>
      <c r="T10" s="17" t="str">
        <f>IF(ISNA(VLOOKUP(8,Scores!$G$3:$AR$82,1,FALSE))=TRUE,"",IF(VLOOKUP(8,Scores!$G$3:$AR$82,1,FALSE)="","",(VLOOKUP(8,Scores!$G$3:$AR$82,1,FALSE))))</f>
        <v/>
      </c>
    </row>
    <row r="11" spans="2:20" x14ac:dyDescent="0.25">
      <c r="B11" s="17" t="str">
        <f>IF(ISNA(VLOOKUP(9,Scores!$A$3:$AR$82,28,FALSE))=TRUE,"",IF(VLOOKUP(9,Scores!$A$3:$AR$82,28,FALSE)="","",(VLOOKUP(9,Scores!$A$3:$AR$82,28,FALSE))))</f>
        <v/>
      </c>
      <c r="C11" s="17" t="str">
        <f>IF(ISNA(VLOOKUP(9,Scores!$A$3:$AR$82,29,FALSE))=TRUE,"",IF(VLOOKUP(9,Scores!$A$3:$AR$82,29,FALSE)="","",(VLOOKUP(9,Scores!$A$3:$AR$82,29,FALSE))))</f>
        <v/>
      </c>
      <c r="D11" s="17" t="str">
        <f>IF(ISNA(VLOOKUP(9,Scores!$A$3:$AR$82,40,FALSE))=TRUE,"",IF(VLOOKUP(9,Scores!$A$3:$AR$82,40,FALSE)="","",(VLOOKUP(9,Scores!$A$3:$AR$82,40,FALSE))))</f>
        <v/>
      </c>
      <c r="E11" s="17" t="str">
        <f>IF(ISNA(VLOOKUP(9,Scores!$A$3:$AR$82,1,FALSE))=TRUE,"",IF(VLOOKUP(9,Scores!$A$3:$AR$82,1,FALSE)="","",(VLOOKUP(9,Scores!$A$3:$AR$82,1,FALSE))))</f>
        <v/>
      </c>
      <c r="G11" s="17" t="str">
        <f>IF(ISNA(VLOOKUP(9,Scores!$C$3:$AR$82,26,FALSE))=TRUE,"",IF(VLOOKUP(9,Scores!$C$3:$AR$82,26,FALSE)="","",(VLOOKUP(9,Scores!$C$3:$AR$82,26,FALSE))))</f>
        <v/>
      </c>
      <c r="H11" s="17" t="str">
        <f>IF(ISNA(VLOOKUP(9,Scores!$C$3:$AR$82,27,FALSE))=TRUE,"",IF(VLOOKUP(9,Scores!$C$3:$AR$82,27,FALSE)="","",(VLOOKUP(9,Scores!$C$3:$AR$82,27,FALSE))))</f>
        <v/>
      </c>
      <c r="I11" s="17" t="str">
        <f>IF(ISNA(VLOOKUP(9,Scores!$C$3:$AR$82,38,FALSE))=TRUE,"",IF(VLOOKUP(9,Scores!$C$3:$AR$82,38,FALSE)="","",(VLOOKUP(9,Scores!$C$3:$AR$82,38,FALSE))))</f>
        <v/>
      </c>
      <c r="J11" s="17" t="str">
        <f>IF(ISNA(VLOOKUP(9,Scores!$C$3:$AR$82,1,FALSE))=TRUE,"",IF(VLOOKUP(9,Scores!$C$3:$AR$82,1,FALSE)="","",(VLOOKUP(9,Scores!$C$3:$AR$82,1,FALSE))))</f>
        <v/>
      </c>
      <c r="L11" s="17" t="str">
        <f>IF(ISNA(VLOOKUP(9,Scores!$E$3:$AR$82,24,FALSE))=TRUE,"",IF(VLOOKUP(9,Scores!$E$3:$AR$82,24,FALSE)="","",(VLOOKUP(9,Scores!$E$3:$AR$82,24,FALSE))))</f>
        <v/>
      </c>
      <c r="M11" s="17" t="str">
        <f>IF(ISNA(VLOOKUP(9,Scores!$E$3:$AR$82,25,FALSE))=TRUE,"",IF(VLOOKUP(9,Scores!$E$3:$AR$82,25,FALSE)="","",(VLOOKUP(9,Scores!$E$3:$AR$82,25,FALSE))))</f>
        <v/>
      </c>
      <c r="N11" s="17" t="str">
        <f>IF(ISNA(VLOOKUP(9,Scores!$E$3:$AR$82,36,FALSE))=TRUE,"",IF(VLOOKUP(9,Scores!$E$3:$AR$82,36,FALSE)="","",(VLOOKUP(9,Scores!$E$3:$AR$82,36,FALSE))))</f>
        <v/>
      </c>
      <c r="O11" s="17" t="str">
        <f>IF(ISNA(VLOOKUP(9,Scores!$E$3:$AR$82,1,FALSE))=TRUE,"",IF(VLOOKUP(9,Scores!$E$3:$AR$82,1,FALSE)="","",(VLOOKUP(9,Scores!$E$3:$AR$82,1,FALSE))))</f>
        <v/>
      </c>
      <c r="Q11" s="17" t="str">
        <f>IF(ISNA(VLOOKUP(9,Scores!$G$3:$AR$82,22,FALSE))=TRUE,"",IF(VLOOKUP(9,Scores!$G$3:$AR$82,22,FALSE)="","",(VLOOKUP(9,Scores!$G$3:$AR$82,22,FALSE))))</f>
        <v/>
      </c>
      <c r="R11" s="17" t="str">
        <f>IF(ISNA(VLOOKUP(9,Scores!$G$3:$AR$82,23,FALSE))=TRUE,"",IF(VLOOKUP(9,Scores!$G$3:$AR$82,23,FALSE)="","",(VLOOKUP(9,Scores!$G$3:$AR$82,23,FALSE))))</f>
        <v/>
      </c>
      <c r="S11" s="17" t="str">
        <f>IF(ISNA(VLOOKUP(9,Scores!$G$3:$AR$82,34,FALSE))=TRUE,"",IF(VLOOKUP(9,Scores!$G$3:$AR$82,34,FALSE)="","",(VLOOKUP(9,Scores!$G$3:$AR$82,34,FALSE))))</f>
        <v/>
      </c>
      <c r="T11" s="17" t="str">
        <f>IF(ISNA(VLOOKUP(9,Scores!$G$3:$AR$82,1,FALSE))=TRUE,"",IF(VLOOKUP(9,Scores!$G$3:$AR$82,1,FALSE)="","",(VLOOKUP(9,Scores!$G$3:$AR$82,1,FALSE))))</f>
        <v/>
      </c>
    </row>
    <row r="12" spans="2:20" x14ac:dyDescent="0.25">
      <c r="B12" s="17" t="str">
        <f>IF(ISNA(VLOOKUP(10,Scores!$A$3:$AR$82,28,FALSE))=TRUE,"",IF(VLOOKUP(10,Scores!$A$3:$AR$82,28,FALSE)="","",(VLOOKUP(10,Scores!$A$3:$AR$82,28,FALSE))))</f>
        <v/>
      </c>
      <c r="C12" s="17" t="str">
        <f>IF(ISNA(VLOOKUP(10,Scores!$A$3:$AR$82,29,FALSE))=TRUE,"",IF(VLOOKUP(10,Scores!$A$3:$AR$82,29,FALSE)="","",(VLOOKUP(10,Scores!$A$3:$AR$82,29,FALSE))))</f>
        <v/>
      </c>
      <c r="D12" s="17" t="str">
        <f>IF(ISNA(VLOOKUP(10,Scores!$A$3:$AR$82,40,FALSE))=TRUE,"",IF(VLOOKUP(10,Scores!$A$3:$AR$82,40,FALSE)="","",(VLOOKUP(10,Scores!$A$3:$AR$82,40,FALSE))))</f>
        <v/>
      </c>
      <c r="E12" s="17" t="str">
        <f>IF(ISNA(VLOOKUP(10,Scores!$A$3:$AR$82,1,FALSE))=TRUE,"",IF(VLOOKUP(10,Scores!$A$3:$AR$82,1,FALSE)="","",(VLOOKUP(10,Scores!$A$3:$AR$82,1,FALSE))))</f>
        <v/>
      </c>
      <c r="G12" s="17" t="str">
        <f>IF(ISNA(VLOOKUP(10,Scores!$C$3:$AR$82,26,FALSE))=TRUE,"",IF(VLOOKUP(10,Scores!$C$3:$AR$82,26,FALSE)="","",(VLOOKUP(10,Scores!$C$3:$AR$82,26,FALSE))))</f>
        <v/>
      </c>
      <c r="H12" s="17" t="str">
        <f>IF(ISNA(VLOOKUP(10,Scores!$C$3:$AR$82,27,FALSE))=TRUE,"",IF(VLOOKUP(10,Scores!$C$3:$AR$82,27,FALSE)="","",(VLOOKUP(10,Scores!$C$3:$AR$82,27,FALSE))))</f>
        <v/>
      </c>
      <c r="I12" s="17" t="str">
        <f>IF(ISNA(VLOOKUP(10,Scores!$C$3:$AR$82,38,FALSE))=TRUE,"",IF(VLOOKUP(10,Scores!$C$3:$AR$82,38,FALSE)="","",(VLOOKUP(10,Scores!$C$3:$AR$82,38,FALSE))))</f>
        <v/>
      </c>
      <c r="J12" s="17" t="str">
        <f>IF(ISNA(VLOOKUP(10,Scores!$C$3:$AR$82,1,FALSE))=TRUE,"",IF(VLOOKUP(10,Scores!$C$3:$AR$82,1,FALSE)="","",(VLOOKUP(10,Scores!$C$3:$AR$82,1,FALSE))))</f>
        <v/>
      </c>
      <c r="L12" s="17" t="str">
        <f>IF(ISNA(VLOOKUP(10,Scores!$E$3:$AR$82,24,FALSE))=TRUE,"",IF(VLOOKUP(10,Scores!$E$3:$AR$82,24,FALSE)="","",(VLOOKUP(10,Scores!$E$3:$AR$82,24,FALSE))))</f>
        <v/>
      </c>
      <c r="M12" s="17" t="str">
        <f>IF(ISNA(VLOOKUP(10,Scores!$E$3:$AR$82,25,FALSE))=TRUE,"",IF(VLOOKUP(10,Scores!$E$3:$AR$82,25,FALSE)="","",(VLOOKUP(10,Scores!$E$3:$AR$82,25,FALSE))))</f>
        <v/>
      </c>
      <c r="N12" s="17" t="str">
        <f>IF(ISNA(VLOOKUP(10,Scores!$E$3:$AR$82,36,FALSE))=TRUE,"",IF(VLOOKUP(10,Scores!$E$3:$AR$82,36,FALSE)="","",(VLOOKUP(10,Scores!$E$3:$AR$82,36,FALSE))))</f>
        <v/>
      </c>
      <c r="O12" s="17" t="str">
        <f>IF(ISNA(VLOOKUP(10,Scores!$E$3:$AR$82,1,FALSE))=TRUE,"",IF(VLOOKUP(10,Scores!$E$3:$AR$82,1,FALSE)="","",(VLOOKUP(10,Scores!$E$3:$AR$82,1,FALSE))))</f>
        <v/>
      </c>
      <c r="Q12" s="17" t="str">
        <f>IF(ISNA(VLOOKUP(10,Scores!$G$3:$AR$82,22,FALSE))=TRUE,"",IF(VLOOKUP(10,Scores!$G$3:$AR$82,22,FALSE)="","",(VLOOKUP(10,Scores!$G$3:$AR$82,22,FALSE))))</f>
        <v/>
      </c>
      <c r="R12" s="17" t="str">
        <f>IF(ISNA(VLOOKUP(10,Scores!$G$3:$AR$82,23,FALSE))=TRUE,"",IF(VLOOKUP(10,Scores!$G$3:$AR$82,23,FALSE)="","",(VLOOKUP(10,Scores!$G$3:$AR$82,23,FALSE))))</f>
        <v/>
      </c>
      <c r="S12" s="17" t="str">
        <f>IF(ISNA(VLOOKUP(10,Scores!$G$3:$AR$82,34,FALSE))=TRUE,"",IF(VLOOKUP(10,Scores!$G$3:$AR$82,34,FALSE)="","",(VLOOKUP(10,Scores!$G$3:$AR$82,34,FALSE))))</f>
        <v/>
      </c>
      <c r="T12" s="17" t="str">
        <f>IF(ISNA(VLOOKUP(10,Scores!$G$3:$AR$82,1,FALSE))=TRUE,"",IF(VLOOKUP(10,Scores!$G$3:$AR$82,1,FALSE)="","",(VLOOKUP(10,Scores!$G$3:$AR$82,1,FALSE))))</f>
        <v/>
      </c>
    </row>
    <row r="13" spans="2:20" x14ac:dyDescent="0.25">
      <c r="B13" s="17" t="str">
        <f>IF(ISNA(VLOOKUP(11,Scores!$A$3:$AR$82,28,FALSE))=TRUE,"",IF(VLOOKUP(11,Scores!$A$3:$AR$82,28,FALSE)="","",(VLOOKUP(11,Scores!$A$3:$AR$82,28,FALSE))))</f>
        <v/>
      </c>
      <c r="C13" s="17" t="str">
        <f>IF(ISNA(VLOOKUP(11,Scores!$A$3:$AR$82,29,FALSE))=TRUE,"",IF(VLOOKUP(11,Scores!$A$3:$AR$82,29,FALSE)="","",(VLOOKUP(11,Scores!$A$3:$AR$82,29,FALSE))))</f>
        <v/>
      </c>
      <c r="D13" s="17" t="str">
        <f>IF(ISNA(VLOOKUP(11,Scores!$A$3:$AR$82,40,FALSE))=TRUE,"",IF(VLOOKUP(11,Scores!$A$3:$AR$82,40,FALSE)="","",(VLOOKUP(11,Scores!$A$3:$AR$82,40,FALSE))))</f>
        <v/>
      </c>
      <c r="E13" s="17" t="str">
        <f>IF(ISNA(VLOOKUP(11,Scores!$A$3:$AR$82,1,FALSE))=TRUE,"",IF(VLOOKUP(11,Scores!$A$3:$AR$82,1,FALSE)="","",(VLOOKUP(11,Scores!$A$3:$AR$82,1,FALSE))))</f>
        <v/>
      </c>
      <c r="G13" s="17" t="str">
        <f>IF(ISNA(VLOOKUP(11,Scores!$C$3:$AR$82,26,FALSE))=TRUE,"",IF(VLOOKUP(11,Scores!$C$3:$AR$82,26,FALSE)="","",(VLOOKUP(11,Scores!$C$3:$AR$82,26,FALSE))))</f>
        <v/>
      </c>
      <c r="H13" s="17" t="str">
        <f>IF(ISNA(VLOOKUP(11,Scores!$C$3:$AR$82,27,FALSE))=TRUE,"",IF(VLOOKUP(11,Scores!$C$3:$AR$82,27,FALSE)="","",(VLOOKUP(11,Scores!$C$3:$AR$82,27,FALSE))))</f>
        <v/>
      </c>
      <c r="I13" s="17" t="str">
        <f>IF(ISNA(VLOOKUP(11,Scores!$C$3:$AR$82,38,FALSE))=TRUE,"",IF(VLOOKUP(11,Scores!$C$3:$AR$82,38,FALSE)="","",(VLOOKUP(11,Scores!$C$3:$AR$82,38,FALSE))))</f>
        <v/>
      </c>
      <c r="J13" s="17" t="str">
        <f>IF(ISNA(VLOOKUP(11,Scores!$C$3:$AR$82,1,FALSE))=TRUE,"",IF(VLOOKUP(11,Scores!$C$3:$AR$82,1,FALSE)="","",(VLOOKUP(11,Scores!$C$3:$AR$82,1,FALSE))))</f>
        <v/>
      </c>
      <c r="L13" s="17" t="str">
        <f>IF(ISNA(VLOOKUP(11,Scores!$E$3:$AR$82,24,FALSE))=TRUE,"",IF(VLOOKUP(11,Scores!$E$3:$AR$82,24,FALSE)="","",(VLOOKUP(11,Scores!$E$3:$AR$82,24,FALSE))))</f>
        <v/>
      </c>
      <c r="M13" s="17" t="str">
        <f>IF(ISNA(VLOOKUP(11,Scores!$E$3:$AR$82,25,FALSE))=TRUE,"",IF(VLOOKUP(11,Scores!$E$3:$AR$82,25,FALSE)="","",(VLOOKUP(11,Scores!$E$3:$AR$82,25,FALSE))))</f>
        <v/>
      </c>
      <c r="N13" s="17" t="str">
        <f>IF(ISNA(VLOOKUP(11,Scores!$E$3:$AR$82,36,FALSE))=TRUE,"",IF(VLOOKUP(11,Scores!$E$3:$AR$82,36,FALSE)="","",(VLOOKUP(11,Scores!$E$3:$AR$82,36,FALSE))))</f>
        <v/>
      </c>
      <c r="O13" s="17" t="str">
        <f>IF(ISNA(VLOOKUP(11,Scores!$E$3:$AR$82,1,FALSE))=TRUE,"",IF(VLOOKUP(11,Scores!$E$3:$AR$82,1,FALSE)="","",(VLOOKUP(11,Scores!$E$3:$AR$82,1,FALSE))))</f>
        <v/>
      </c>
      <c r="Q13" s="17" t="str">
        <f>IF(ISNA(VLOOKUP(11,Scores!$G$3:$AR$82,22,FALSE))=TRUE,"",IF(VLOOKUP(11,Scores!$G$3:$AR$82,22,FALSE)="","",(VLOOKUP(11,Scores!$G$3:$AR$82,22,FALSE))))</f>
        <v/>
      </c>
      <c r="R13" s="17" t="str">
        <f>IF(ISNA(VLOOKUP(11,Scores!$G$3:$AR$82,23,FALSE))=TRUE,"",IF(VLOOKUP(11,Scores!$G$3:$AR$82,23,FALSE)="","",(VLOOKUP(11,Scores!$G$3:$AR$82,23,FALSE))))</f>
        <v/>
      </c>
      <c r="S13" s="17" t="str">
        <f>IF(ISNA(VLOOKUP(11,Scores!$G$3:$AR$82,34,FALSE))=TRUE,"",IF(VLOOKUP(11,Scores!$G$3:$AR$82,34,FALSE)="","",(VLOOKUP(11,Scores!$G$3:$AR$82,34,FALSE))))</f>
        <v/>
      </c>
      <c r="T13" s="17" t="str">
        <f>IF(ISNA(VLOOKUP(11,Scores!$G$3:$AR$82,1,FALSE))=TRUE,"",IF(VLOOKUP(11,Scores!$G$3:$AR$82,1,FALSE)="","",(VLOOKUP(11,Scores!$G$3:$AR$82,1,FALSE))))</f>
        <v/>
      </c>
    </row>
    <row r="14" spans="2:20" x14ac:dyDescent="0.25">
      <c r="B14" s="17" t="str">
        <f>IF(ISNA(VLOOKUP(12,Scores!$A$3:$AR$82,28,FALSE))=TRUE,"",IF(VLOOKUP(12,Scores!$A$3:$AR$82,28,FALSE)="","",(VLOOKUP(12,Scores!$A$3:$AR$82,28,FALSE))))</f>
        <v/>
      </c>
      <c r="C14" s="17" t="str">
        <f>IF(ISNA(VLOOKUP(12,Scores!$A$3:$AR$82,29,FALSE))=TRUE,"",IF(VLOOKUP(12,Scores!$A$3:$AR$82,29,FALSE)="","",(VLOOKUP(12,Scores!$A$3:$AR$82,29,FALSE))))</f>
        <v/>
      </c>
      <c r="D14" s="17" t="str">
        <f>IF(ISNA(VLOOKUP(12,Scores!$A$3:$AR$82,40,FALSE))=TRUE,"",IF(VLOOKUP(12,Scores!$A$3:$AR$82,40,FALSE)="","",(VLOOKUP(12,Scores!$A$3:$AR$82,40,FALSE))))</f>
        <v/>
      </c>
      <c r="E14" s="17" t="str">
        <f>IF(ISNA(VLOOKUP(12,Scores!$A$3:$AR$82,1,FALSE))=TRUE,"",IF(VLOOKUP(12,Scores!$A$3:$AR$82,1,FALSE)="","",(VLOOKUP(12,Scores!$A$3:$AR$82,1,FALSE))))</f>
        <v/>
      </c>
      <c r="G14" s="17" t="str">
        <f>IF(ISNA(VLOOKUP(12,Scores!$C$3:$AR$82,26,FALSE))=TRUE,"",IF(VLOOKUP(12,Scores!$C$3:$AR$82,26,FALSE)="","",(VLOOKUP(12,Scores!$C$3:$AR$82,26,FALSE))))</f>
        <v/>
      </c>
      <c r="H14" s="17" t="str">
        <f>IF(ISNA(VLOOKUP(12,Scores!$C$3:$AR$82,27,FALSE))=TRUE,"",IF(VLOOKUP(12,Scores!$C$3:$AR$82,27,FALSE)="","",(VLOOKUP(12,Scores!$C$3:$AR$82,27,FALSE))))</f>
        <v/>
      </c>
      <c r="I14" s="17" t="str">
        <f>IF(ISNA(VLOOKUP(12,Scores!$C$3:$AR$82,38,FALSE))=TRUE,"",IF(VLOOKUP(12,Scores!$C$3:$AR$82,38,FALSE)="","",(VLOOKUP(12,Scores!$C$3:$AR$82,38,FALSE))))</f>
        <v/>
      </c>
      <c r="J14" s="17" t="str">
        <f>IF(ISNA(VLOOKUP(12,Scores!$C$3:$AR$82,1,FALSE))=TRUE,"",IF(VLOOKUP(12,Scores!$C$3:$AR$82,1,FALSE)="","",(VLOOKUP(12,Scores!$C$3:$AR$82,1,FALSE))))</f>
        <v/>
      </c>
      <c r="L14" s="17" t="str">
        <f>IF(ISNA(VLOOKUP(12,Scores!$E$3:$AR$82,24,FALSE))=TRUE,"",IF(VLOOKUP(12,Scores!$E$3:$AR$82,24,FALSE)="","",(VLOOKUP(12,Scores!$E$3:$AR$82,24,FALSE))))</f>
        <v/>
      </c>
      <c r="M14" s="17" t="str">
        <f>IF(ISNA(VLOOKUP(12,Scores!$E$3:$AR$82,25,FALSE))=TRUE,"",IF(VLOOKUP(12,Scores!$E$3:$AR$82,25,FALSE)="","",(VLOOKUP(12,Scores!$E$3:$AR$82,25,FALSE))))</f>
        <v/>
      </c>
      <c r="N14" s="17" t="str">
        <f>IF(ISNA(VLOOKUP(12,Scores!$E$3:$AR$82,36,FALSE))=TRUE,"",IF(VLOOKUP(12,Scores!$E$3:$AR$82,36,FALSE)="","",(VLOOKUP(12,Scores!$E$3:$AR$82,36,FALSE))))</f>
        <v/>
      </c>
      <c r="O14" s="17" t="str">
        <f>IF(ISNA(VLOOKUP(12,Scores!$E$3:$AR$82,1,FALSE))=TRUE,"",IF(VLOOKUP(12,Scores!$E$3:$AR$82,1,FALSE)="","",(VLOOKUP(12,Scores!$E$3:$AR$82,1,FALSE))))</f>
        <v/>
      </c>
      <c r="Q14" s="17" t="str">
        <f>IF(ISNA(VLOOKUP(12,Scores!$G$3:$AR$82,22,FALSE))=TRUE,"",IF(VLOOKUP(12,Scores!$G$3:$AR$82,22,FALSE)="","",(VLOOKUP(12,Scores!$G$3:$AR$82,22,FALSE))))</f>
        <v/>
      </c>
      <c r="R14" s="17" t="str">
        <f>IF(ISNA(VLOOKUP(12,Scores!$G$3:$AR$82,23,FALSE))=TRUE,"",IF(VLOOKUP(12,Scores!$G$3:$AR$82,23,FALSE)="","",(VLOOKUP(12,Scores!$G$3:$AR$82,23,FALSE))))</f>
        <v/>
      </c>
      <c r="S14" s="17" t="str">
        <f>IF(ISNA(VLOOKUP(12,Scores!$G$3:$AR$82,34,FALSE))=TRUE,"",IF(VLOOKUP(12,Scores!$G$3:$AR$82,34,FALSE)="","",(VLOOKUP(12,Scores!$G$3:$AR$82,34,FALSE))))</f>
        <v/>
      </c>
      <c r="T14" s="17" t="str">
        <f>IF(ISNA(VLOOKUP(12,Scores!$G$3:$AR$82,1,FALSE))=TRUE,"",IF(VLOOKUP(12,Scores!$G$3:$AR$82,1,FALSE)="","",(VLOOKUP(12,Scores!$G$3:$AR$82,1,FALSE))))</f>
        <v/>
      </c>
    </row>
    <row r="15" spans="2:20" x14ac:dyDescent="0.25">
      <c r="B15" s="17" t="str">
        <f>IF(ISNA(VLOOKUP(13,Scores!$A$3:$AR$82,28,FALSE))=TRUE,"",IF(VLOOKUP(13,Scores!$A$3:$AR$82,28,FALSE)="","",(VLOOKUP(13,Scores!$A$3:$AR$82,28,FALSE))))</f>
        <v/>
      </c>
      <c r="C15" s="17" t="str">
        <f>IF(ISNA(VLOOKUP(13,Scores!$A$3:$AR$82,29,FALSE))=TRUE,"",IF(VLOOKUP(13,Scores!$A$3:$AR$82,29,FALSE)="","",(VLOOKUP(13,Scores!$A$3:$AR$82,29,FALSE))))</f>
        <v/>
      </c>
      <c r="D15" s="17" t="str">
        <f>IF(ISNA(VLOOKUP(13,Scores!$A$3:$AR$82,40,FALSE))=TRUE,"",IF(VLOOKUP(13,Scores!$A$3:$AR$82,40,FALSE)="","",(VLOOKUP(13,Scores!$A$3:$AR$82,40,FALSE))))</f>
        <v/>
      </c>
      <c r="E15" s="17" t="str">
        <f>IF(ISNA(VLOOKUP(13,Scores!$A$3:$AR$82,1,FALSE))=TRUE,"",IF(VLOOKUP(13,Scores!$A$3:$AR$82,1,FALSE)="","",(VLOOKUP(13,Scores!$A$3:$AR$82,1,FALSE))))</f>
        <v/>
      </c>
      <c r="G15" s="17" t="str">
        <f>IF(ISNA(VLOOKUP(13,Scores!$C$3:$AR$82,26,FALSE))=TRUE,"",IF(VLOOKUP(13,Scores!$C$3:$AR$82,26,FALSE)="","",(VLOOKUP(13,Scores!$C$3:$AR$82,26,FALSE))))</f>
        <v/>
      </c>
      <c r="H15" s="17" t="str">
        <f>IF(ISNA(VLOOKUP(13,Scores!$C$3:$AR$82,27,FALSE))=TRUE,"",IF(VLOOKUP(13,Scores!$C$3:$AR$82,27,FALSE)="","",(VLOOKUP(13,Scores!$C$3:$AR$82,27,FALSE))))</f>
        <v/>
      </c>
      <c r="I15" s="17" t="str">
        <f>IF(ISNA(VLOOKUP(13,Scores!$C$3:$AR$82,38,FALSE))=TRUE,"",IF(VLOOKUP(13,Scores!$C$3:$AR$82,38,FALSE)="","",(VLOOKUP(13,Scores!$C$3:$AR$82,38,FALSE))))</f>
        <v/>
      </c>
      <c r="J15" s="17" t="str">
        <f>IF(ISNA(VLOOKUP(13,Scores!$C$3:$AR$82,1,FALSE))=TRUE,"",IF(VLOOKUP(13,Scores!$C$3:$AR$82,1,FALSE)="","",(VLOOKUP(13,Scores!$C$3:$AR$82,1,FALSE))))</f>
        <v/>
      </c>
      <c r="L15" s="17" t="str">
        <f>IF(ISNA(VLOOKUP(13,Scores!$E$3:$AR$82,24,FALSE))=TRUE,"",IF(VLOOKUP(13,Scores!$E$3:$AR$82,24,FALSE)="","",(VLOOKUP(13,Scores!$E$3:$AR$82,24,FALSE))))</f>
        <v/>
      </c>
      <c r="M15" s="17" t="str">
        <f>IF(ISNA(VLOOKUP(13,Scores!$E$3:$AR$82,25,FALSE))=TRUE,"",IF(VLOOKUP(13,Scores!$E$3:$AR$82,25,FALSE)="","",(VLOOKUP(13,Scores!$E$3:$AR$82,25,FALSE))))</f>
        <v/>
      </c>
      <c r="N15" s="17" t="str">
        <f>IF(ISNA(VLOOKUP(13,Scores!$E$3:$AR$82,36,FALSE))=TRUE,"",IF(VLOOKUP(13,Scores!$E$3:$AR$82,36,FALSE)="","",(VLOOKUP(13,Scores!$E$3:$AR$82,36,FALSE))))</f>
        <v/>
      </c>
      <c r="O15" s="17" t="str">
        <f>IF(ISNA(VLOOKUP(13,Scores!$E$3:$AR$82,1,FALSE))=TRUE,"",IF(VLOOKUP(13,Scores!$E$3:$AR$82,1,FALSE)="","",(VLOOKUP(13,Scores!$E$3:$AR$82,1,FALSE))))</f>
        <v/>
      </c>
      <c r="Q15" s="17" t="str">
        <f>IF(ISNA(VLOOKUP(13,Scores!$G$3:$AR$82,22,FALSE))=TRUE,"",IF(VLOOKUP(13,Scores!$G$3:$AR$82,22,FALSE)="","",(VLOOKUP(13,Scores!$G$3:$AR$82,22,FALSE))))</f>
        <v/>
      </c>
      <c r="R15" s="17" t="str">
        <f>IF(ISNA(VLOOKUP(13,Scores!$G$3:$AR$82,23,FALSE))=TRUE,"",IF(VLOOKUP(13,Scores!$G$3:$AR$82,23,FALSE)="","",(VLOOKUP(13,Scores!$G$3:$AR$82,23,FALSE))))</f>
        <v/>
      </c>
      <c r="S15" s="17" t="str">
        <f>IF(ISNA(VLOOKUP(13,Scores!$G$3:$AR$82,34,FALSE))=TRUE,"",IF(VLOOKUP(13,Scores!$G$3:$AR$82,34,FALSE)="","",(VLOOKUP(13,Scores!$G$3:$AR$82,34,FALSE))))</f>
        <v/>
      </c>
      <c r="T15" s="17" t="str">
        <f>IF(ISNA(VLOOKUP(13,Scores!$G$3:$AR$82,1,FALSE))=TRUE,"",IF(VLOOKUP(13,Scores!$G$3:$AR$82,1,FALSE)="","",(VLOOKUP(13,Scores!$G$3:$AR$82,1,FALSE))))</f>
        <v/>
      </c>
    </row>
    <row r="16" spans="2:20" x14ac:dyDescent="0.25">
      <c r="B16" s="17" t="str">
        <f>IF(ISNA(VLOOKUP(14,Scores!$A$3:$AR$82,28,FALSE))=TRUE,"",IF(VLOOKUP(14,Scores!$A$3:$AR$82,28,FALSE)="","",(VLOOKUP(14,Scores!$A$3:$AR$82,28,FALSE))))</f>
        <v/>
      </c>
      <c r="C16" s="17" t="str">
        <f>IF(ISNA(VLOOKUP(14,Scores!$A$3:$AR$82,29,FALSE))=TRUE,"",IF(VLOOKUP(14,Scores!$A$3:$AR$82,29,FALSE)="","",(VLOOKUP(14,Scores!$A$3:$AR$82,29,FALSE))))</f>
        <v/>
      </c>
      <c r="D16" s="17" t="str">
        <f>IF(ISNA(VLOOKUP(14,Scores!$A$3:$AR$82,40,FALSE))=TRUE,"",IF(VLOOKUP(14,Scores!$A$3:$AR$82,40,FALSE)="","",(VLOOKUP(14,Scores!$A$3:$AR$82,40,FALSE))))</f>
        <v/>
      </c>
      <c r="E16" s="17" t="str">
        <f>IF(ISNA(VLOOKUP(14,Scores!$A$3:$AR$82,1,FALSE))=TRUE,"",IF(VLOOKUP(14,Scores!$A$3:$AR$82,1,FALSE)="","",(VLOOKUP(14,Scores!$A$3:$AR$82,1,FALSE))))</f>
        <v/>
      </c>
      <c r="G16" s="17" t="str">
        <f>IF(ISNA(VLOOKUP(14,Scores!$C$3:$AR$82,26,FALSE))=TRUE,"",IF(VLOOKUP(14,Scores!$C$3:$AR$82,26,FALSE)="","",(VLOOKUP(14,Scores!$C$3:$AR$82,26,FALSE))))</f>
        <v/>
      </c>
      <c r="H16" s="17" t="str">
        <f>IF(ISNA(VLOOKUP(14,Scores!$C$3:$AR$82,27,FALSE))=TRUE,"",IF(VLOOKUP(14,Scores!$C$3:$AR$82,27,FALSE)="","",(VLOOKUP(14,Scores!$C$3:$AR$82,27,FALSE))))</f>
        <v/>
      </c>
      <c r="I16" s="17" t="str">
        <f>IF(ISNA(VLOOKUP(14,Scores!$C$3:$AR$82,38,FALSE))=TRUE,"",IF(VLOOKUP(14,Scores!$C$3:$AR$82,38,FALSE)="","",(VLOOKUP(14,Scores!$C$3:$AR$82,38,FALSE))))</f>
        <v/>
      </c>
      <c r="J16" s="17" t="str">
        <f>IF(ISNA(VLOOKUP(14,Scores!$C$3:$AR$82,1,FALSE))=TRUE,"",IF(VLOOKUP(14,Scores!$C$3:$AR$82,1,FALSE)="","",(VLOOKUP(14,Scores!$C$3:$AR$82,1,FALSE))))</f>
        <v/>
      </c>
      <c r="L16" s="17" t="str">
        <f>IF(ISNA(VLOOKUP(14,Scores!$E$3:$AR$82,24,FALSE))=TRUE,"",IF(VLOOKUP(14,Scores!$E$3:$AR$82,24,FALSE)="","",(VLOOKUP(14,Scores!$E$3:$AR$82,24,FALSE))))</f>
        <v/>
      </c>
      <c r="M16" s="17" t="str">
        <f>IF(ISNA(VLOOKUP(14,Scores!$E$3:$AR$82,25,FALSE))=TRUE,"",IF(VLOOKUP(14,Scores!$E$3:$AR$82,25,FALSE)="","",(VLOOKUP(14,Scores!$E$3:$AR$82,25,FALSE))))</f>
        <v/>
      </c>
      <c r="N16" s="17" t="str">
        <f>IF(ISNA(VLOOKUP(14,Scores!$E$3:$AR$82,36,FALSE))=TRUE,"",IF(VLOOKUP(14,Scores!$E$3:$AR$82,36,FALSE)="","",(VLOOKUP(14,Scores!$E$3:$AR$82,36,FALSE))))</f>
        <v/>
      </c>
      <c r="O16" s="17" t="str">
        <f>IF(ISNA(VLOOKUP(14,Scores!$E$3:$AR$82,1,FALSE))=TRUE,"",IF(VLOOKUP(14,Scores!$E$3:$AR$82,1,FALSE)="","",(VLOOKUP(14,Scores!$E$3:$AR$82,1,FALSE))))</f>
        <v/>
      </c>
      <c r="Q16" s="17" t="str">
        <f>IF(ISNA(VLOOKUP(14,Scores!$G$3:$AR$82,22,FALSE))=TRUE,"",IF(VLOOKUP(14,Scores!$G$3:$AR$82,22,FALSE)="","",(VLOOKUP(14,Scores!$G$3:$AR$82,22,FALSE))))</f>
        <v/>
      </c>
      <c r="R16" s="17" t="str">
        <f>IF(ISNA(VLOOKUP(14,Scores!$G$3:$AR$82,23,FALSE))=TRUE,"",IF(VLOOKUP(14,Scores!$G$3:$AR$82,23,FALSE)="","",(VLOOKUP(14,Scores!$G$3:$AR$82,23,FALSE))))</f>
        <v/>
      </c>
      <c r="S16" s="17" t="str">
        <f>IF(ISNA(VLOOKUP(14,Scores!$G$3:$AR$82,34,FALSE))=TRUE,"",IF(VLOOKUP(14,Scores!$G$3:$AR$82,34,FALSE)="","",(VLOOKUP(14,Scores!$G$3:$AR$82,34,FALSE))))</f>
        <v/>
      </c>
      <c r="T16" s="17" t="str">
        <f>IF(ISNA(VLOOKUP(14,Scores!$G$3:$AR$82,1,FALSE))=TRUE,"",IF(VLOOKUP(14,Scores!$G$3:$AR$82,1,FALSE)="","",(VLOOKUP(14,Scores!$G$3:$AR$82,1,FALSE))))</f>
        <v/>
      </c>
    </row>
    <row r="17" spans="2:20" x14ac:dyDescent="0.25">
      <c r="B17" s="17" t="str">
        <f>IF(ISNA(VLOOKUP(15,Scores!$A$3:$AR$82,28,FALSE))=TRUE,"",IF(VLOOKUP(15,Scores!$A$3:$AR$82,28,FALSE)="","",(VLOOKUP(15,Scores!$A$3:$AR$82,28,FALSE))))</f>
        <v/>
      </c>
      <c r="C17" s="17" t="str">
        <f>IF(ISNA(VLOOKUP(15,Scores!$A$3:$AR$82,29,FALSE))=TRUE,"",IF(VLOOKUP(15,Scores!$A$3:$AR$82,29,FALSE)="","",(VLOOKUP(15,Scores!$A$3:$AR$82,29,FALSE))))</f>
        <v/>
      </c>
      <c r="D17" s="17" t="str">
        <f>IF(ISNA(VLOOKUP(15,Scores!$A$3:$AR$82,40,FALSE))=TRUE,"",IF(VLOOKUP(15,Scores!$A$3:$AR$82,40,FALSE)="","",(VLOOKUP(15,Scores!$A$3:$AR$82,40,FALSE))))</f>
        <v/>
      </c>
      <c r="E17" s="17" t="str">
        <f>IF(ISNA(VLOOKUP(15,Scores!$A$3:$AR$82,1,FALSE))=TRUE,"",IF(VLOOKUP(15,Scores!$A$3:$AR$82,1,FALSE)="","",(VLOOKUP(15,Scores!$A$3:$AR$82,1,FALSE))))</f>
        <v/>
      </c>
      <c r="G17" s="17" t="str">
        <f>IF(ISNA(VLOOKUP(15,Scores!$C$3:$AR$82,26,FALSE))=TRUE,"",IF(VLOOKUP(15,Scores!$C$3:$AR$82,26,FALSE)="","",(VLOOKUP(15,Scores!$C$3:$AR$82,26,FALSE))))</f>
        <v/>
      </c>
      <c r="H17" s="17" t="str">
        <f>IF(ISNA(VLOOKUP(15,Scores!$C$3:$AR$82,27,FALSE))=TRUE,"",IF(VLOOKUP(15,Scores!$C$3:$AR$82,27,FALSE)="","",(VLOOKUP(15,Scores!$C$3:$AR$82,27,FALSE))))</f>
        <v/>
      </c>
      <c r="I17" s="17" t="str">
        <f>IF(ISNA(VLOOKUP(15,Scores!$C$3:$AR$82,38,FALSE))=TRUE,"",IF(VLOOKUP(15,Scores!$C$3:$AR$82,38,FALSE)="","",(VLOOKUP(15,Scores!$C$3:$AR$82,38,FALSE))))</f>
        <v/>
      </c>
      <c r="J17" s="17" t="str">
        <f>IF(ISNA(VLOOKUP(15,Scores!$C$3:$AR$82,1,FALSE))=TRUE,"",IF(VLOOKUP(15,Scores!$C$3:$AR$82,1,FALSE)="","",(VLOOKUP(15,Scores!$C$3:$AR$82,1,FALSE))))</f>
        <v/>
      </c>
      <c r="L17" s="17" t="str">
        <f>IF(ISNA(VLOOKUP(15,Scores!$E$3:$AR$82,24,FALSE))=TRUE,"",IF(VLOOKUP(15,Scores!$E$3:$AR$82,24,FALSE)="","",(VLOOKUP(15,Scores!$E$3:$AR$82,24,FALSE))))</f>
        <v/>
      </c>
      <c r="M17" s="17" t="str">
        <f>IF(ISNA(VLOOKUP(15,Scores!$E$3:$AR$82,25,FALSE))=TRUE,"",IF(VLOOKUP(15,Scores!$E$3:$AR$82,25,FALSE)="","",(VLOOKUP(15,Scores!$E$3:$AR$82,25,FALSE))))</f>
        <v/>
      </c>
      <c r="N17" s="17" t="str">
        <f>IF(ISNA(VLOOKUP(15,Scores!$E$3:$AR$82,36,FALSE))=TRUE,"",IF(VLOOKUP(15,Scores!$E$3:$AR$82,36,FALSE)="","",(VLOOKUP(15,Scores!$E$3:$AR$82,36,FALSE))))</f>
        <v/>
      </c>
      <c r="O17" s="17" t="str">
        <f>IF(ISNA(VLOOKUP(15,Scores!$E$3:$AR$82,1,FALSE))=TRUE,"",IF(VLOOKUP(15,Scores!$E$3:$AR$82,1,FALSE)="","",(VLOOKUP(15,Scores!$E$3:$AR$82,1,FALSE))))</f>
        <v/>
      </c>
      <c r="Q17" s="17" t="str">
        <f>IF(ISNA(VLOOKUP(15,Scores!$G$3:$AR$82,22,FALSE))=TRUE,"",IF(VLOOKUP(15,Scores!$G$3:$AR$82,22,FALSE)="","",(VLOOKUP(15,Scores!$G$3:$AR$82,22,FALSE))))</f>
        <v/>
      </c>
      <c r="R17" s="17" t="str">
        <f>IF(ISNA(VLOOKUP(15,Scores!$G$3:$AR$82,23,FALSE))=TRUE,"",IF(VLOOKUP(15,Scores!$G$3:$AR$82,23,FALSE)="","",(VLOOKUP(15,Scores!$G$3:$AR$82,23,FALSE))))</f>
        <v/>
      </c>
      <c r="S17" s="17" t="str">
        <f>IF(ISNA(VLOOKUP(15,Scores!$G$3:$AR$82,34,FALSE))=TRUE,"",IF(VLOOKUP(15,Scores!$G$3:$AR$82,34,FALSE)="","",(VLOOKUP(15,Scores!$G$3:$AR$82,34,FALSE))))</f>
        <v/>
      </c>
      <c r="T17" s="17" t="str">
        <f>IF(ISNA(VLOOKUP(15,Scores!$G$3:$AR$82,1,FALSE))=TRUE,"",IF(VLOOKUP(15,Scores!$G$3:$AR$82,1,FALSE)="","",(VLOOKUP(15,Scores!$G$3:$AR$82,1,FALSE))))</f>
        <v/>
      </c>
    </row>
    <row r="19" spans="2:20" ht="15.75" x14ac:dyDescent="0.25">
      <c r="B19" s="123" t="str">
        <f>IF('Instructions &amp; Reference'!C10="","",'Instructions &amp; Reference'!C10)</f>
        <v>Novice Female</v>
      </c>
      <c r="C19" s="124"/>
      <c r="D19" s="124"/>
      <c r="E19" s="125"/>
      <c r="G19" s="123" t="str">
        <f>IF('Instructions &amp; Reference'!C11="","",'Instructions &amp; Reference'!C11)</f>
        <v>Novice Male</v>
      </c>
      <c r="H19" s="124"/>
      <c r="I19" s="124"/>
      <c r="J19" s="125"/>
      <c r="L19" s="123" t="str">
        <f>IF('Instructions &amp; Reference'!C12="","",'Instructions &amp; Reference'!C12)</f>
        <v>Intermediate Female</v>
      </c>
      <c r="M19" s="124"/>
      <c r="N19" s="124"/>
      <c r="O19" s="125"/>
      <c r="Q19" s="123" t="str">
        <f>IF('Instructions &amp; Reference'!C13="","",'Instructions &amp; Reference'!C13)</f>
        <v>Intermediate Male</v>
      </c>
      <c r="R19" s="124"/>
      <c r="S19" s="124"/>
      <c r="T19" s="125"/>
    </row>
    <row r="20" spans="2:20" s="80" customFormat="1" x14ac:dyDescent="0.25">
      <c r="B20" s="81" t="s">
        <v>137</v>
      </c>
      <c r="C20" s="81" t="s">
        <v>81</v>
      </c>
      <c r="D20" s="81" t="s">
        <v>96</v>
      </c>
      <c r="E20" s="81" t="s">
        <v>138</v>
      </c>
      <c r="F20" s="79"/>
      <c r="G20" s="81" t="s">
        <v>137</v>
      </c>
      <c r="H20" s="81" t="s">
        <v>81</v>
      </c>
      <c r="I20" s="81" t="s">
        <v>96</v>
      </c>
      <c r="J20" s="81" t="s">
        <v>138</v>
      </c>
      <c r="K20" s="79"/>
      <c r="L20" s="81" t="s">
        <v>137</v>
      </c>
      <c r="M20" s="81" t="s">
        <v>81</v>
      </c>
      <c r="N20" s="81" t="s">
        <v>96</v>
      </c>
      <c r="O20" s="81" t="s">
        <v>138</v>
      </c>
      <c r="P20" s="79"/>
      <c r="Q20" s="81" t="s">
        <v>137</v>
      </c>
      <c r="R20" s="81" t="s">
        <v>81</v>
      </c>
      <c r="S20" s="81" t="s">
        <v>96</v>
      </c>
      <c r="T20" s="81" t="s">
        <v>138</v>
      </c>
    </row>
    <row r="21" spans="2:20" x14ac:dyDescent="0.25">
      <c r="B21" s="17" t="str">
        <f>IF(ISNA(VLOOKUP(1,Scores!$I$3:$AR$82,20,FALSE))=TRUE,"",IF(VLOOKUP(1,Scores!$I$3:$AR$82,20,FALSE)="","",(VLOOKUP(1,Scores!$I$3:$AR$82,20,FALSE))))</f>
        <v/>
      </c>
      <c r="C21" s="17" t="str">
        <f>IF(ISNA(VLOOKUP(1,Scores!$I$3:$AR$82,21,FALSE))=TRUE,"",IF(VLOOKUP(1,Scores!$I$3:$AR$82,21,FALSE)="","",(VLOOKUP(1,Scores!$I$3:$AR$82,21,FALSE))))</f>
        <v/>
      </c>
      <c r="D21" s="17" t="str">
        <f>IF(ISNA(VLOOKUP(1,Scores!$I$3:$AR$82,32,FALSE))=TRUE,"",IF(VLOOKUP(1,Scores!$I$3:$AR$82,32,FALSE)="","",(VLOOKUP(1,Scores!$I$3:$AR$82,32,FALSE))))</f>
        <v/>
      </c>
      <c r="E21" s="17" t="str">
        <f>IF(ISNA(VLOOKUP(1,Scores!$I$3:$AR$82,1,FALSE))=TRUE,"",IF(VLOOKUP(1,Scores!$I$3:$AR$82,1,FALSE)="","",(VLOOKUP(1,Scores!$I$3:$AR$82,1,FALSE))))</f>
        <v/>
      </c>
      <c r="G21" s="17" t="str">
        <f>IF(ISNA(VLOOKUP(1,Scores!$K$3:$AR$82,18,FALSE))=TRUE,"",IF(VLOOKUP(1,Scores!$K$3:$AR$82,18,FALSE)="","",(VLOOKUP(1,Scores!$K$3:$AR$82,18,FALSE))))</f>
        <v/>
      </c>
      <c r="H21" s="17" t="str">
        <f>IF(ISNA(VLOOKUP(1,Scores!$K$3:$AR$82,19,FALSE))=TRUE,"",IF(VLOOKUP(1,Scores!$K$3:$AR$82,19,FALSE)="","",(VLOOKUP(1,Scores!$K$3:$AR$82,19,FALSE))))</f>
        <v/>
      </c>
      <c r="I21" s="17" t="str">
        <f>IF(ISNA(VLOOKUP(1,Scores!$K$3:$AR$82,30,FALSE))=TRUE,"",IF(VLOOKUP(1,Scores!$K$3:$AR$82,30,FALSE)="","",(VLOOKUP(1,Scores!$K$3:$AR$82,30,FALSE))))</f>
        <v/>
      </c>
      <c r="J21" s="17" t="str">
        <f>IF(ISNA(VLOOKUP(1,Scores!$K$3:$AR$82,1,FALSE))=TRUE,"",IF(VLOOKUP(1,Scores!$K$3:$AR$82,1,FALSE)="","",(VLOOKUP(1,Scores!$K$3:$AR$82,1,FALSE))))</f>
        <v/>
      </c>
      <c r="L21" s="17" t="str">
        <f>IF(ISNA(VLOOKUP(1,Scores!$M$3:$AR$82,16,FALSE))=TRUE,"",IF(VLOOKUP(1,Scores!$M$3:$AR$82,16,FALSE)="","",(VLOOKUP(1,Scores!$M$3:$AR$82,16,FALSE))))</f>
        <v/>
      </c>
      <c r="M21" s="17" t="str">
        <f>IF(ISNA(VLOOKUP(1,Scores!$M$3:$AR$82,17,FALSE))=TRUE,"",IF(VLOOKUP(1,Scores!$M$3:$AR$82,17,FALSE)="","",(VLOOKUP(1,Scores!$M$3:$AR$82,17,FALSE))))</f>
        <v/>
      </c>
      <c r="N21" s="17" t="str">
        <f>IF(ISNA(VLOOKUP(1,Scores!$M$3:$AR$82,28,FALSE))=TRUE,"",IF(VLOOKUP(1,Scores!$M$3:$AR$82,28,FALSE)="","",(VLOOKUP(1,Scores!$M$3:$AR$82,28,FALSE))))</f>
        <v/>
      </c>
      <c r="O21" s="17" t="str">
        <f>IF(ISNA(VLOOKUP(1,Scores!$M$3:$AR$82,1,FALSE))=TRUE,"",IF(VLOOKUP(1,Scores!$M$3:$AR$82,1,FALSE)="","",(VLOOKUP(1,Scores!$M$3:$AR$82,1,FALSE))))</f>
        <v/>
      </c>
      <c r="Q21" s="17" t="str">
        <f>IF(ISNA(VLOOKUP(1,Scores!$O$3:$AR$82,14,FALSE))=TRUE,"",IF(VLOOKUP(1,Scores!$O$3:$AR$82,14,FALSE)="","",(VLOOKUP(1,Scores!$O$3:$AR$82,14,FALSE))))</f>
        <v/>
      </c>
      <c r="R21" s="17" t="str">
        <f>IF(ISNA(VLOOKUP(1,Scores!$O$3:$AR$82,15,FALSE))=TRUE,"",IF(VLOOKUP(1,Scores!$O$3:$AR$82,15,FALSE)="","",(VLOOKUP(1,Scores!$O$3:$AR$82,15,FALSE))))</f>
        <v/>
      </c>
      <c r="S21" s="17" t="str">
        <f>IF(ISNA(VLOOKUP(1,Scores!$O$3:$AR$82,26,FALSE))=TRUE,"",IF(VLOOKUP(1,Scores!$O$3:$AR$82,26,FALSE)="","",(VLOOKUP(1,Scores!$O$3:$AR$82,26,FALSE))))</f>
        <v/>
      </c>
      <c r="T21" s="17" t="str">
        <f>IF(ISNA(VLOOKUP(1,Scores!$O$3:$AR$82,1,FALSE))=TRUE,"",IF(VLOOKUP(1,Scores!$O$3:$AR$82,1,FALSE)="","",(VLOOKUP(1,Scores!$O$3:$AR$82,1,FALSE))))</f>
        <v/>
      </c>
    </row>
    <row r="22" spans="2:20" x14ac:dyDescent="0.25">
      <c r="B22" s="17" t="str">
        <f>IF(ISNA(VLOOKUP(2,Scores!$I$3:$AR$82,20,FALSE))=TRUE,"",IF(VLOOKUP(2,Scores!$I$3:$AR$82,20,FALSE)="","",(VLOOKUP(2,Scores!$I$3:$AR$82,20,FALSE))))</f>
        <v/>
      </c>
      <c r="C22" s="17" t="str">
        <f>IF(ISNA(VLOOKUP(2,Scores!$I$3:$AR$82,21,FALSE))=TRUE,"",IF(VLOOKUP(2,Scores!$I$3:$AR$82,21,FALSE)="","",(VLOOKUP(2,Scores!$I$3:$AR$82,21,FALSE))))</f>
        <v/>
      </c>
      <c r="D22" s="17" t="str">
        <f>IF(ISNA(VLOOKUP(2,Scores!$I$3:$AR$82,32,FALSE))=TRUE,"",IF(VLOOKUP(2,Scores!$I$3:$AR$82,32,FALSE)="","",(VLOOKUP(2,Scores!$I$3:$AR$82,32,FALSE))))</f>
        <v/>
      </c>
      <c r="E22" s="17" t="str">
        <f>IF(ISNA(VLOOKUP(2,Scores!$I$3:$AR$82,1,FALSE))=TRUE,"",IF(VLOOKUP(2,Scores!$I$3:$AR$82,1,FALSE)="","",(VLOOKUP(2,Scores!$I$3:$AR$82,1,FALSE))))</f>
        <v/>
      </c>
      <c r="G22" s="17" t="str">
        <f>IF(ISNA(VLOOKUP(2,Scores!$K$3:$AR$82,18,FALSE))=TRUE,"",IF(VLOOKUP(2,Scores!$K$3:$AR$82,18,FALSE)="","",(VLOOKUP(2,Scores!$K$3:$AR$82,18,FALSE))))</f>
        <v/>
      </c>
      <c r="H22" s="17" t="str">
        <f>IF(ISNA(VLOOKUP(2,Scores!$K$3:$AR$82,19,FALSE))=TRUE,"",IF(VLOOKUP(2,Scores!$K$3:$AR$82,19,FALSE)="","",(VLOOKUP(2,Scores!$K$3:$AR$82,19,FALSE))))</f>
        <v/>
      </c>
      <c r="I22" s="17" t="str">
        <f>IF(ISNA(VLOOKUP(2,Scores!$K$3:$AR$82,30,FALSE))=TRUE,"",IF(VLOOKUP(2,Scores!$K$3:$AR$82,30,FALSE)="","",(VLOOKUP(2,Scores!$K$3:$AR$82,30,FALSE))))</f>
        <v/>
      </c>
      <c r="J22" s="17" t="str">
        <f>IF(ISNA(VLOOKUP(2,Scores!$K$3:$AR$82,1,FALSE))=TRUE,"",IF(VLOOKUP(2,Scores!$K$3:$AR$82,1,FALSE)="","",(VLOOKUP(2,Scores!$K$3:$AR$82,1,FALSE))))</f>
        <v/>
      </c>
      <c r="L22" s="17" t="str">
        <f>IF(ISNA(VLOOKUP(2,Scores!$M$3:$AR$82,16,FALSE))=TRUE,"",IF(VLOOKUP(2,Scores!$M$3:$AR$82,16,FALSE)="","",(VLOOKUP(2,Scores!$M$3:$AR$82,16,FALSE))))</f>
        <v/>
      </c>
      <c r="M22" s="17" t="str">
        <f>IF(ISNA(VLOOKUP(2,Scores!$M$3:$AR$82,17,FALSE))=TRUE,"",IF(VLOOKUP(2,Scores!$M$3:$AR$82,17,FALSE)="","",(VLOOKUP(2,Scores!$M$3:$AR$82,17,FALSE))))</f>
        <v/>
      </c>
      <c r="N22" s="17" t="str">
        <f>IF(ISNA(VLOOKUP(2,Scores!$M$3:$AR$82,28,FALSE))=TRUE,"",IF(VLOOKUP(2,Scores!$M$3:$AR$82,28,FALSE)="","",(VLOOKUP(2,Scores!$M$3:$AR$82,28,FALSE))))</f>
        <v/>
      </c>
      <c r="O22" s="17" t="str">
        <f>IF(ISNA(VLOOKUP(2,Scores!$M$3:$AR$82,1,FALSE))=TRUE,"",IF(VLOOKUP(2,Scores!$M$3:$AR$82,1,FALSE)="","",(VLOOKUP(2,Scores!$M$3:$AR$82,1,FALSE))))</f>
        <v/>
      </c>
      <c r="Q22" s="17" t="str">
        <f>IF(ISNA(VLOOKUP(2,Scores!$O$3:$AR$82,14,FALSE))=TRUE,"",IF(VLOOKUP(2,Scores!$O$3:$AR$82,14,FALSE)="","",(VLOOKUP(2,Scores!$O$3:$AR$82,14,FALSE))))</f>
        <v/>
      </c>
      <c r="R22" s="17" t="str">
        <f>IF(ISNA(VLOOKUP(2,Scores!$O$3:$AR$82,15,FALSE))=TRUE,"",IF(VLOOKUP(2,Scores!$O$3:$AR$82,15,FALSE)="","",(VLOOKUP(2,Scores!$O$3:$AR$82,15,FALSE))))</f>
        <v/>
      </c>
      <c r="S22" s="17" t="str">
        <f>IF(ISNA(VLOOKUP(2,Scores!$O$3:$AR$82,26,FALSE))=TRUE,"",IF(VLOOKUP(2,Scores!$O$3:$AR$82,26,FALSE)="","",(VLOOKUP(2,Scores!$O$3:$AR$82,26,FALSE))))</f>
        <v/>
      </c>
      <c r="T22" s="17" t="str">
        <f>IF(ISNA(VLOOKUP(2,Scores!$O$3:$AR$82,1,FALSE))=TRUE,"",IF(VLOOKUP(2,Scores!$O$3:$AR$82,1,FALSE)="","",(VLOOKUP(2,Scores!$O$3:$AR$82,1,FALSE))))</f>
        <v/>
      </c>
    </row>
    <row r="23" spans="2:20" x14ac:dyDescent="0.25">
      <c r="B23" s="17" t="str">
        <f>IF(ISNA(VLOOKUP(3,Scores!$I$3:$AR$82,20,FALSE))=TRUE,"",IF(VLOOKUP(3,Scores!$I$3:$AR$82,20,FALSE)="","",(VLOOKUP(3,Scores!$I$3:$AR$82,20,FALSE))))</f>
        <v/>
      </c>
      <c r="C23" s="17" t="str">
        <f>IF(ISNA(VLOOKUP(3,Scores!$I$3:$AR$82,21,FALSE))=TRUE,"",IF(VLOOKUP(3,Scores!$I$3:$AR$82,21,FALSE)="","",(VLOOKUP(3,Scores!$I$3:$AR$82,21,FALSE))))</f>
        <v/>
      </c>
      <c r="D23" s="17" t="str">
        <f>IF(ISNA(VLOOKUP(3,Scores!$I$3:$AR$82,32,FALSE))=TRUE,"",IF(VLOOKUP(3,Scores!$I$3:$AR$82,32,FALSE)="","",(VLOOKUP(3,Scores!$I$3:$AR$82,32,FALSE))))</f>
        <v/>
      </c>
      <c r="E23" s="17" t="str">
        <f>IF(ISNA(VLOOKUP(3,Scores!$I$3:$AR$82,1,FALSE))=TRUE,"",IF(VLOOKUP(3,Scores!$I$3:$AR$82,1,FALSE)="","",(VLOOKUP(3,Scores!$I$3:$AR$82,1,FALSE))))</f>
        <v/>
      </c>
      <c r="G23" s="17" t="str">
        <f>IF(ISNA(VLOOKUP(3,Scores!$K$3:$AR$82,18,FALSE))=TRUE,"",IF(VLOOKUP(3,Scores!$K$3:$AR$82,18,FALSE)="","",(VLOOKUP(3,Scores!$K$3:$AR$82,18,FALSE))))</f>
        <v/>
      </c>
      <c r="H23" s="17" t="str">
        <f>IF(ISNA(VLOOKUP(3,Scores!$K$3:$AR$82,19,FALSE))=TRUE,"",IF(VLOOKUP(3,Scores!$K$3:$AR$82,19,FALSE)="","",(VLOOKUP(3,Scores!$K$3:$AR$82,19,FALSE))))</f>
        <v/>
      </c>
      <c r="I23" s="17" t="str">
        <f>IF(ISNA(VLOOKUP(3,Scores!$K$3:$AR$82,30,FALSE))=TRUE,"",IF(VLOOKUP(3,Scores!$K$3:$AR$82,30,FALSE)="","",(VLOOKUP(3,Scores!$K$3:$AR$82,30,FALSE))))</f>
        <v/>
      </c>
      <c r="J23" s="17" t="str">
        <f>IF(ISNA(VLOOKUP(3,Scores!$K$3:$AR$82,1,FALSE))=TRUE,"",IF(VLOOKUP(3,Scores!$K$3:$AR$82,1,FALSE)="","",(VLOOKUP(3,Scores!$K$3:$AR$82,1,FALSE))))</f>
        <v/>
      </c>
      <c r="L23" s="17" t="str">
        <f>IF(ISNA(VLOOKUP(3,Scores!$M$3:$AR$82,16,FALSE))=TRUE,"",IF(VLOOKUP(3,Scores!$M$3:$AR$82,16,FALSE)="","",(VLOOKUP(3,Scores!$M$3:$AR$82,16,FALSE))))</f>
        <v/>
      </c>
      <c r="M23" s="17" t="str">
        <f>IF(ISNA(VLOOKUP(3,Scores!$M$3:$AR$82,17,FALSE))=TRUE,"",IF(VLOOKUP(3,Scores!$M$3:$AR$82,17,FALSE)="","",(VLOOKUP(3,Scores!$M$3:$AR$82,17,FALSE))))</f>
        <v/>
      </c>
      <c r="N23" s="17" t="str">
        <f>IF(ISNA(VLOOKUP(3,Scores!$M$3:$AR$82,28,FALSE))=TRUE,"",IF(VLOOKUP(3,Scores!$M$3:$AR$82,28,FALSE)="","",(VLOOKUP(3,Scores!$M$3:$AR$82,28,FALSE))))</f>
        <v/>
      </c>
      <c r="O23" s="17" t="str">
        <f>IF(ISNA(VLOOKUP(3,Scores!$M$3:$AR$82,1,FALSE))=TRUE,"",IF(VLOOKUP(3,Scores!$M$3:$AR$82,1,FALSE)="","",(VLOOKUP(3,Scores!$M$3:$AR$82,1,FALSE))))</f>
        <v/>
      </c>
      <c r="Q23" s="17" t="str">
        <f>IF(ISNA(VLOOKUP(3,Scores!$O$3:$AR$82,14,FALSE))=TRUE,"",IF(VLOOKUP(3,Scores!$O$3:$AR$82,14,FALSE)="","",(VLOOKUP(3,Scores!$O$3:$AR$82,14,FALSE))))</f>
        <v/>
      </c>
      <c r="R23" s="17" t="str">
        <f>IF(ISNA(VLOOKUP(3,Scores!$O$3:$AR$82,15,FALSE))=TRUE,"",IF(VLOOKUP(3,Scores!$O$3:$AR$82,15,FALSE)="","",(VLOOKUP(3,Scores!$O$3:$AR$82,15,FALSE))))</f>
        <v/>
      </c>
      <c r="S23" s="17" t="str">
        <f>IF(ISNA(VLOOKUP(3,Scores!$O$3:$AR$82,26,FALSE))=TRUE,"",IF(VLOOKUP(3,Scores!$O$3:$AR$82,26,FALSE)="","",(VLOOKUP(3,Scores!$O$3:$AR$82,26,FALSE))))</f>
        <v/>
      </c>
      <c r="T23" s="17" t="str">
        <f>IF(ISNA(VLOOKUP(3,Scores!$O$3:$AR$82,1,FALSE))=TRUE,"",IF(VLOOKUP(3,Scores!$O$3:$AR$82,1,FALSE)="","",(VLOOKUP(3,Scores!$O$3:$AR$82,1,FALSE))))</f>
        <v/>
      </c>
    </row>
    <row r="24" spans="2:20" x14ac:dyDescent="0.25">
      <c r="B24" s="17" t="str">
        <f>IF(ISNA(VLOOKUP(4,Scores!$I$3:$AR$82,20,FALSE))=TRUE,"",IF(VLOOKUP(4,Scores!$I$3:$AR$82,20,FALSE)="","",(VLOOKUP(4,Scores!$I$3:$AR$82,20,FALSE))))</f>
        <v/>
      </c>
      <c r="C24" s="17" t="str">
        <f>IF(ISNA(VLOOKUP(4,Scores!$I$3:$AR$82,21,FALSE))=TRUE,"",IF(VLOOKUP(4,Scores!$I$3:$AR$82,21,FALSE)="","",(VLOOKUP(4,Scores!$I$3:$AR$82,21,FALSE))))</f>
        <v/>
      </c>
      <c r="D24" s="17" t="str">
        <f>IF(ISNA(VLOOKUP(4,Scores!$I$3:$AR$82,32,FALSE))=TRUE,"",IF(VLOOKUP(4,Scores!$I$3:$AR$82,32,FALSE)="","",(VLOOKUP(4,Scores!$I$3:$AR$82,32,FALSE))))</f>
        <v/>
      </c>
      <c r="E24" s="17" t="str">
        <f>IF(ISNA(VLOOKUP(4,Scores!$I$3:$AR$82,1,FALSE))=TRUE,"",IF(VLOOKUP(4,Scores!$I$3:$AR$82,1,FALSE)="","",(VLOOKUP(4,Scores!$I$3:$AR$82,1,FALSE))))</f>
        <v/>
      </c>
      <c r="G24" s="17" t="str">
        <f>IF(ISNA(VLOOKUP(4,Scores!$K$3:$AR$82,18,FALSE))=TRUE,"",IF(VLOOKUP(4,Scores!$K$3:$AR$82,18,FALSE)="","",(VLOOKUP(4,Scores!$K$3:$AR$82,18,FALSE))))</f>
        <v/>
      </c>
      <c r="H24" s="17" t="str">
        <f>IF(ISNA(VLOOKUP(4,Scores!$K$3:$AR$82,19,FALSE))=TRUE,"",IF(VLOOKUP(4,Scores!$K$3:$AR$82,19,FALSE)="","",(VLOOKUP(4,Scores!$K$3:$AR$82,19,FALSE))))</f>
        <v/>
      </c>
      <c r="I24" s="17" t="str">
        <f>IF(ISNA(VLOOKUP(4,Scores!$K$3:$AR$82,30,FALSE))=TRUE,"",IF(VLOOKUP(4,Scores!$K$3:$AR$82,30,FALSE)="","",(VLOOKUP(4,Scores!$K$3:$AR$82,30,FALSE))))</f>
        <v/>
      </c>
      <c r="J24" s="17" t="str">
        <f>IF(ISNA(VLOOKUP(4,Scores!$K$3:$AR$82,1,FALSE))=TRUE,"",IF(VLOOKUP(4,Scores!$K$3:$AR$82,1,FALSE)="","",(VLOOKUP(4,Scores!$K$3:$AR$82,1,FALSE))))</f>
        <v/>
      </c>
      <c r="L24" s="17" t="str">
        <f>IF(ISNA(VLOOKUP(4,Scores!$M$3:$AR$82,16,FALSE))=TRUE,"",IF(VLOOKUP(4,Scores!$M$3:$AR$82,16,FALSE)="","",(VLOOKUP(4,Scores!$M$3:$AR$82,16,FALSE))))</f>
        <v/>
      </c>
      <c r="M24" s="17" t="str">
        <f>IF(ISNA(VLOOKUP(4,Scores!$M$3:$AR$82,17,FALSE))=TRUE,"",IF(VLOOKUP(4,Scores!$M$3:$AR$82,17,FALSE)="","",(VLOOKUP(4,Scores!$M$3:$AR$82,17,FALSE))))</f>
        <v/>
      </c>
      <c r="N24" s="17" t="str">
        <f>IF(ISNA(VLOOKUP(4,Scores!$M$3:$AR$82,28,FALSE))=TRUE,"",IF(VLOOKUP(4,Scores!$M$3:$AR$82,28,FALSE)="","",(VLOOKUP(4,Scores!$M$3:$AR$82,28,FALSE))))</f>
        <v/>
      </c>
      <c r="O24" s="17" t="str">
        <f>IF(ISNA(VLOOKUP(4,Scores!$M$3:$AR$82,1,FALSE))=TRUE,"",IF(VLOOKUP(4,Scores!$M$3:$AR$82,1,FALSE)="","",(VLOOKUP(4,Scores!$M$3:$AR$82,1,FALSE))))</f>
        <v/>
      </c>
      <c r="Q24" s="17" t="str">
        <f>IF(ISNA(VLOOKUP(4,Scores!$O$3:$AR$82,14,FALSE))=TRUE,"",IF(VLOOKUP(4,Scores!$O$3:$AR$82,14,FALSE)="","",(VLOOKUP(4,Scores!$O$3:$AR$82,14,FALSE))))</f>
        <v/>
      </c>
      <c r="R24" s="17" t="str">
        <f>IF(ISNA(VLOOKUP(4,Scores!$O$3:$AR$82,15,FALSE))=TRUE,"",IF(VLOOKUP(4,Scores!$O$3:$AR$82,15,FALSE)="","",(VLOOKUP(4,Scores!$O$3:$AR$82,15,FALSE))))</f>
        <v/>
      </c>
      <c r="S24" s="17" t="str">
        <f>IF(ISNA(VLOOKUP(4,Scores!$O$3:$AR$82,26,FALSE))=TRUE,"",IF(VLOOKUP(4,Scores!$O$3:$AR$82,26,FALSE)="","",(VLOOKUP(4,Scores!$O$3:$AR$82,26,FALSE))))</f>
        <v/>
      </c>
      <c r="T24" s="17" t="str">
        <f>IF(ISNA(VLOOKUP(4,Scores!$O$3:$AR$82,1,FALSE))=TRUE,"",IF(VLOOKUP(4,Scores!$O$3:$AR$82,1,FALSE)="","",(VLOOKUP(4,Scores!$O$3:$AR$82,1,FALSE))))</f>
        <v/>
      </c>
    </row>
    <row r="25" spans="2:20" x14ac:dyDescent="0.25">
      <c r="B25" s="17" t="str">
        <f>IF(ISNA(VLOOKUP(5,Scores!$I$3:$AR$82,20,FALSE))=TRUE,"",IF(VLOOKUP(5,Scores!$I$3:$AR$82,20,FALSE)="","",(VLOOKUP(5,Scores!$I$3:$AR$82,20,FALSE))))</f>
        <v/>
      </c>
      <c r="C25" s="17" t="str">
        <f>IF(ISNA(VLOOKUP(5,Scores!$I$3:$AR$82,21,FALSE))=TRUE,"",IF(VLOOKUP(5,Scores!$I$3:$AR$82,21,FALSE)="","",(VLOOKUP(5,Scores!$I$3:$AR$82,21,FALSE))))</f>
        <v/>
      </c>
      <c r="D25" s="17" t="str">
        <f>IF(ISNA(VLOOKUP(5,Scores!$I$3:$AR$82,32,FALSE))=TRUE,"",IF(VLOOKUP(5,Scores!$I$3:$AR$82,32,FALSE)="","",(VLOOKUP(5,Scores!$I$3:$AR$82,32,FALSE))))</f>
        <v/>
      </c>
      <c r="E25" s="17" t="str">
        <f>IF(ISNA(VLOOKUP(5,Scores!$I$3:$AR$82,1,FALSE))=TRUE,"",IF(VLOOKUP(5,Scores!$I$3:$AR$82,1,FALSE)="","",(VLOOKUP(5,Scores!$I$3:$AR$82,1,FALSE))))</f>
        <v/>
      </c>
      <c r="G25" s="17" t="str">
        <f>IF(ISNA(VLOOKUP(5,Scores!$K$3:$AR$82,18,FALSE))=TRUE,"",IF(VLOOKUP(5,Scores!$K$3:$AR$82,18,FALSE)="","",(VLOOKUP(5,Scores!$K$3:$AR$82,18,FALSE))))</f>
        <v/>
      </c>
      <c r="H25" s="17" t="str">
        <f>IF(ISNA(VLOOKUP(5,Scores!$K$3:$AR$82,19,FALSE))=TRUE,"",IF(VLOOKUP(5,Scores!$K$3:$AR$82,19,FALSE)="","",(VLOOKUP(5,Scores!$K$3:$AR$82,19,FALSE))))</f>
        <v/>
      </c>
      <c r="I25" s="17" t="str">
        <f>IF(ISNA(VLOOKUP(5,Scores!$K$3:$AR$82,30,FALSE))=TRUE,"",IF(VLOOKUP(5,Scores!$K$3:$AR$82,30,FALSE)="","",(VLOOKUP(5,Scores!$K$3:$AR$82,30,FALSE))))</f>
        <v/>
      </c>
      <c r="J25" s="17" t="str">
        <f>IF(ISNA(VLOOKUP(5,Scores!$K$3:$AR$82,1,FALSE))=TRUE,"",IF(VLOOKUP(5,Scores!$K$3:$AR$82,1,FALSE)="","",(VLOOKUP(5,Scores!$K$3:$AR$82,1,FALSE))))</f>
        <v/>
      </c>
      <c r="L25" s="17" t="str">
        <f>IF(ISNA(VLOOKUP(5,Scores!$M$3:$AR$82,16,FALSE))=TRUE,"",IF(VLOOKUP(5,Scores!$M$3:$AR$82,16,FALSE)="","",(VLOOKUP(5,Scores!$M$3:$AR$82,16,FALSE))))</f>
        <v/>
      </c>
      <c r="M25" s="17" t="str">
        <f>IF(ISNA(VLOOKUP(5,Scores!$M$3:$AR$82,17,FALSE))=TRUE,"",IF(VLOOKUP(5,Scores!$M$3:$AR$82,17,FALSE)="","",(VLOOKUP(5,Scores!$M$3:$AR$82,17,FALSE))))</f>
        <v/>
      </c>
      <c r="N25" s="17" t="str">
        <f>IF(ISNA(VLOOKUP(5,Scores!$M$3:$AR$82,28,FALSE))=TRUE,"",IF(VLOOKUP(5,Scores!$M$3:$AR$82,28,FALSE)="","",(VLOOKUP(5,Scores!$M$3:$AR$82,28,FALSE))))</f>
        <v/>
      </c>
      <c r="O25" s="17" t="str">
        <f>IF(ISNA(VLOOKUP(5,Scores!$M$3:$AR$82,1,FALSE))=TRUE,"",IF(VLOOKUP(5,Scores!$M$3:$AR$82,1,FALSE)="","",(VLOOKUP(5,Scores!$M$3:$AR$82,1,FALSE))))</f>
        <v/>
      </c>
      <c r="Q25" s="17" t="str">
        <f>IF(ISNA(VLOOKUP(5,Scores!$O$3:$AR$82,14,FALSE))=TRUE,"",IF(VLOOKUP(5,Scores!$O$3:$AR$82,14,FALSE)="","",(VLOOKUP(5,Scores!$O$3:$AR$82,14,FALSE))))</f>
        <v/>
      </c>
      <c r="R25" s="17" t="str">
        <f>IF(ISNA(VLOOKUP(5,Scores!$O$3:$AR$82,15,FALSE))=TRUE,"",IF(VLOOKUP(5,Scores!$O$3:$AR$82,15,FALSE)="","",(VLOOKUP(5,Scores!$O$3:$AR$82,15,FALSE))))</f>
        <v/>
      </c>
      <c r="S25" s="17" t="str">
        <f>IF(ISNA(VLOOKUP(5,Scores!$O$3:$AR$82,26,FALSE))=TRUE,"",IF(VLOOKUP(5,Scores!$O$3:$AR$82,26,FALSE)="","",(VLOOKUP(5,Scores!$O$3:$AR$82,26,FALSE))))</f>
        <v/>
      </c>
      <c r="T25" s="17" t="str">
        <f>IF(ISNA(VLOOKUP(5,Scores!$O$3:$AR$82,1,FALSE))=TRUE,"",IF(VLOOKUP(5,Scores!$O$3:$AR$82,1,FALSE)="","",(VLOOKUP(5,Scores!$O$3:$AR$82,1,FALSE))))</f>
        <v/>
      </c>
    </row>
    <row r="26" spans="2:20" x14ac:dyDescent="0.25">
      <c r="B26" s="17" t="str">
        <f>IF(ISNA(VLOOKUP(6,Scores!$I$3:$AR$82,20,FALSE))=TRUE,"",IF(VLOOKUP(6,Scores!$I$3:$AR$82,20,FALSE)="","",(VLOOKUP(6,Scores!$I$3:$AR$82,20,FALSE))))</f>
        <v/>
      </c>
      <c r="C26" s="17" t="str">
        <f>IF(ISNA(VLOOKUP(6,Scores!$I$3:$AR$82,21,FALSE))=TRUE,"",IF(VLOOKUP(6,Scores!$I$3:$AR$82,21,FALSE)="","",(VLOOKUP(6,Scores!$I$3:$AR$82,21,FALSE))))</f>
        <v/>
      </c>
      <c r="D26" s="17" t="str">
        <f>IF(ISNA(VLOOKUP(6,Scores!$I$3:$AR$82,32,FALSE))=TRUE,"",IF(VLOOKUP(6,Scores!$I$3:$AR$82,32,FALSE)="","",(VLOOKUP(6,Scores!$I$3:$AR$82,32,FALSE))))</f>
        <v/>
      </c>
      <c r="E26" s="17" t="str">
        <f>IF(ISNA(VLOOKUP(6,Scores!$I$3:$AR$82,1,FALSE))=TRUE,"",IF(VLOOKUP(6,Scores!$I$3:$AR$82,1,FALSE)="","",(VLOOKUP(6,Scores!$I$3:$AR$82,1,FALSE))))</f>
        <v/>
      </c>
      <c r="G26" s="17" t="str">
        <f>IF(ISNA(VLOOKUP(6,Scores!$K$3:$AR$82,18,FALSE))=TRUE,"",IF(VLOOKUP(6,Scores!$K$3:$AR$82,18,FALSE)="","",(VLOOKUP(6,Scores!$K$3:$AR$82,18,FALSE))))</f>
        <v/>
      </c>
      <c r="H26" s="17" t="str">
        <f>IF(ISNA(VLOOKUP(6,Scores!$K$3:$AR$82,19,FALSE))=TRUE,"",IF(VLOOKUP(6,Scores!$K$3:$AR$82,19,FALSE)="","",(VLOOKUP(6,Scores!$K$3:$AR$82,19,FALSE))))</f>
        <v/>
      </c>
      <c r="I26" s="17" t="str">
        <f>IF(ISNA(VLOOKUP(6,Scores!$K$3:$AR$82,30,FALSE))=TRUE,"",IF(VLOOKUP(6,Scores!$K$3:$AR$82,30,FALSE)="","",(VLOOKUP(6,Scores!$K$3:$AR$82,30,FALSE))))</f>
        <v/>
      </c>
      <c r="J26" s="17" t="str">
        <f>IF(ISNA(VLOOKUP(6,Scores!$K$3:$AR$82,1,FALSE))=TRUE,"",IF(VLOOKUP(6,Scores!$K$3:$AR$82,1,FALSE)="","",(VLOOKUP(6,Scores!$K$3:$AR$82,1,FALSE))))</f>
        <v/>
      </c>
      <c r="L26" s="17" t="str">
        <f>IF(ISNA(VLOOKUP(6,Scores!$M$3:$AR$82,16,FALSE))=TRUE,"",IF(VLOOKUP(6,Scores!$M$3:$AR$82,16,FALSE)="","",(VLOOKUP(6,Scores!$M$3:$AR$82,16,FALSE))))</f>
        <v/>
      </c>
      <c r="M26" s="17" t="str">
        <f>IF(ISNA(VLOOKUP(6,Scores!$M$3:$AR$82,17,FALSE))=TRUE,"",IF(VLOOKUP(6,Scores!$M$3:$AR$82,17,FALSE)="","",(VLOOKUP(6,Scores!$M$3:$AR$82,17,FALSE))))</f>
        <v/>
      </c>
      <c r="N26" s="17" t="str">
        <f>IF(ISNA(VLOOKUP(6,Scores!$M$3:$AR$82,28,FALSE))=TRUE,"",IF(VLOOKUP(6,Scores!$M$3:$AR$82,28,FALSE)="","",(VLOOKUP(6,Scores!$M$3:$AR$82,28,FALSE))))</f>
        <v/>
      </c>
      <c r="O26" s="17" t="str">
        <f>IF(ISNA(VLOOKUP(6,Scores!$M$3:$AR$82,1,FALSE))=TRUE,"",IF(VLOOKUP(6,Scores!$M$3:$AR$82,1,FALSE)="","",(VLOOKUP(6,Scores!$M$3:$AR$82,1,FALSE))))</f>
        <v/>
      </c>
      <c r="Q26" s="17" t="str">
        <f>IF(ISNA(VLOOKUP(6,Scores!$O$3:$AR$82,14,FALSE))=TRUE,"",IF(VLOOKUP(6,Scores!$O$3:$AR$82,14,FALSE)="","",(VLOOKUP(6,Scores!$O$3:$AR$82,14,FALSE))))</f>
        <v/>
      </c>
      <c r="R26" s="17" t="str">
        <f>IF(ISNA(VLOOKUP(6,Scores!$O$3:$AR$82,15,FALSE))=TRUE,"",IF(VLOOKUP(6,Scores!$O$3:$AR$82,15,FALSE)="","",(VLOOKUP(6,Scores!$O$3:$AR$82,15,FALSE))))</f>
        <v/>
      </c>
      <c r="S26" s="17" t="str">
        <f>IF(ISNA(VLOOKUP(6,Scores!$O$3:$AR$82,26,FALSE))=TRUE,"",IF(VLOOKUP(6,Scores!$O$3:$AR$82,26,FALSE)="","",(VLOOKUP(6,Scores!$O$3:$AR$82,26,FALSE))))</f>
        <v/>
      </c>
      <c r="T26" s="17" t="str">
        <f>IF(ISNA(VLOOKUP(6,Scores!$O$3:$AR$82,1,FALSE))=TRUE,"",IF(VLOOKUP(6,Scores!$O$3:$AR$82,1,FALSE)="","",(VLOOKUP(6,Scores!$O$3:$AR$82,1,FALSE))))</f>
        <v/>
      </c>
    </row>
    <row r="27" spans="2:20" x14ac:dyDescent="0.25">
      <c r="B27" s="17" t="str">
        <f>IF(ISNA(VLOOKUP(7,Scores!$I$3:$AR$82,20,FALSE))=TRUE,"",IF(VLOOKUP(7,Scores!$I$3:$AR$82,20,FALSE)="","",(VLOOKUP(7,Scores!$I$3:$AR$82,20,FALSE))))</f>
        <v/>
      </c>
      <c r="C27" s="17" t="str">
        <f>IF(ISNA(VLOOKUP(7,Scores!$I$3:$AR$82,21,FALSE))=TRUE,"",IF(VLOOKUP(7,Scores!$I$3:$AR$82,21,FALSE)="","",(VLOOKUP(7,Scores!$I$3:$AR$82,21,FALSE))))</f>
        <v/>
      </c>
      <c r="D27" s="17" t="str">
        <f>IF(ISNA(VLOOKUP(7,Scores!$I$3:$AR$82,32,FALSE))=TRUE,"",IF(VLOOKUP(7,Scores!$I$3:$AR$82,32,FALSE)="","",(VLOOKUP(7,Scores!$I$3:$AR$82,32,FALSE))))</f>
        <v/>
      </c>
      <c r="E27" s="17" t="str">
        <f>IF(ISNA(VLOOKUP(7,Scores!$I$3:$AR$82,1,FALSE))=TRUE,"",IF(VLOOKUP(7,Scores!$I$3:$AR$82,1,FALSE)="","",(VLOOKUP(7,Scores!$I$3:$AR$82,1,FALSE))))</f>
        <v/>
      </c>
      <c r="G27" s="17" t="str">
        <f>IF(ISNA(VLOOKUP(7,Scores!$K$3:$AR$82,18,FALSE))=TRUE,"",IF(VLOOKUP(7,Scores!$K$3:$AR$82,18,FALSE)="","",(VLOOKUP(7,Scores!$K$3:$AR$82,18,FALSE))))</f>
        <v/>
      </c>
      <c r="H27" s="17" t="str">
        <f>IF(ISNA(VLOOKUP(7,Scores!$K$3:$AR$82,19,FALSE))=TRUE,"",IF(VLOOKUP(7,Scores!$K$3:$AR$82,19,FALSE)="","",(VLOOKUP(7,Scores!$K$3:$AR$82,19,FALSE))))</f>
        <v/>
      </c>
      <c r="I27" s="17" t="str">
        <f>IF(ISNA(VLOOKUP(7,Scores!$K$3:$AR$82,30,FALSE))=TRUE,"",IF(VLOOKUP(7,Scores!$K$3:$AR$82,30,FALSE)="","",(VLOOKUP(7,Scores!$K$3:$AR$82,30,FALSE))))</f>
        <v/>
      </c>
      <c r="J27" s="17" t="str">
        <f>IF(ISNA(VLOOKUP(7,Scores!$K$3:$AR$82,1,FALSE))=TRUE,"",IF(VLOOKUP(7,Scores!$K$3:$AR$82,1,FALSE)="","",(VLOOKUP(7,Scores!$K$3:$AR$82,1,FALSE))))</f>
        <v/>
      </c>
      <c r="L27" s="17" t="str">
        <f>IF(ISNA(VLOOKUP(7,Scores!$M$3:$AR$82,16,FALSE))=TRUE,"",IF(VLOOKUP(7,Scores!$M$3:$AR$82,16,FALSE)="","",(VLOOKUP(7,Scores!$M$3:$AR$82,16,FALSE))))</f>
        <v/>
      </c>
      <c r="M27" s="17" t="str">
        <f>IF(ISNA(VLOOKUP(7,Scores!$M$3:$AR$82,17,FALSE))=TRUE,"",IF(VLOOKUP(7,Scores!$M$3:$AR$82,17,FALSE)="","",(VLOOKUP(7,Scores!$M$3:$AR$82,17,FALSE))))</f>
        <v/>
      </c>
      <c r="N27" s="17" t="str">
        <f>IF(ISNA(VLOOKUP(7,Scores!$M$3:$AR$82,28,FALSE))=TRUE,"",IF(VLOOKUP(7,Scores!$M$3:$AR$82,28,FALSE)="","",(VLOOKUP(7,Scores!$M$3:$AR$82,28,FALSE))))</f>
        <v/>
      </c>
      <c r="O27" s="17" t="str">
        <f>IF(ISNA(VLOOKUP(7,Scores!$M$3:$AR$82,1,FALSE))=TRUE,"",IF(VLOOKUP(7,Scores!$M$3:$AR$82,1,FALSE)="","",(VLOOKUP(7,Scores!$M$3:$AR$82,1,FALSE))))</f>
        <v/>
      </c>
      <c r="Q27" s="17" t="str">
        <f>IF(ISNA(VLOOKUP(7,Scores!$O$3:$AR$82,14,FALSE))=TRUE,"",IF(VLOOKUP(7,Scores!$O$3:$AR$82,14,FALSE)="","",(VLOOKUP(7,Scores!$O$3:$AR$82,14,FALSE))))</f>
        <v/>
      </c>
      <c r="R27" s="17" t="str">
        <f>IF(ISNA(VLOOKUP(7,Scores!$O$3:$AR$82,15,FALSE))=TRUE,"",IF(VLOOKUP(7,Scores!$O$3:$AR$82,15,FALSE)="","",(VLOOKUP(7,Scores!$O$3:$AR$82,15,FALSE))))</f>
        <v/>
      </c>
      <c r="S27" s="17" t="str">
        <f>IF(ISNA(VLOOKUP(7,Scores!$O$3:$AR$82,26,FALSE))=TRUE,"",IF(VLOOKUP(7,Scores!$O$3:$AR$82,26,FALSE)="","",(VLOOKUP(7,Scores!$O$3:$AR$82,26,FALSE))))</f>
        <v/>
      </c>
      <c r="T27" s="17" t="str">
        <f>IF(ISNA(VLOOKUP(7,Scores!$O$3:$AR$82,1,FALSE))=TRUE,"",IF(VLOOKUP(7,Scores!$O$3:$AR$82,1,FALSE)="","",(VLOOKUP(7,Scores!$O$3:$AR$82,1,FALSE))))</f>
        <v/>
      </c>
    </row>
    <row r="28" spans="2:20" x14ac:dyDescent="0.25">
      <c r="B28" s="17" t="str">
        <f>IF(ISNA(VLOOKUP(8,Scores!$I$3:$AR$82,20,FALSE))=TRUE,"",IF(VLOOKUP(8,Scores!$I$3:$AR$82,20,FALSE)="","",(VLOOKUP(8,Scores!$I$3:$AR$82,20,FALSE))))</f>
        <v/>
      </c>
      <c r="C28" s="17" t="str">
        <f>IF(ISNA(VLOOKUP(8,Scores!$I$3:$AR$82,21,FALSE))=TRUE,"",IF(VLOOKUP(8,Scores!$I$3:$AR$82,21,FALSE)="","",(VLOOKUP(8,Scores!$I$3:$AR$82,21,FALSE))))</f>
        <v/>
      </c>
      <c r="D28" s="17" t="str">
        <f>IF(ISNA(VLOOKUP(8,Scores!$I$3:$AR$82,32,FALSE))=TRUE,"",IF(VLOOKUP(8,Scores!$I$3:$AR$82,32,FALSE)="","",(VLOOKUP(8,Scores!$I$3:$AR$82,32,FALSE))))</f>
        <v/>
      </c>
      <c r="E28" s="17" t="str">
        <f>IF(ISNA(VLOOKUP(8,Scores!$I$3:$AR$82,1,FALSE))=TRUE,"",IF(VLOOKUP(8,Scores!$I$3:$AR$82,1,FALSE)="","",(VLOOKUP(8,Scores!$I$3:$AR$82,1,FALSE))))</f>
        <v/>
      </c>
      <c r="G28" s="17" t="str">
        <f>IF(ISNA(VLOOKUP(8,Scores!$K$3:$AR$82,18,FALSE))=TRUE,"",IF(VLOOKUP(8,Scores!$K$3:$AR$82,18,FALSE)="","",(VLOOKUP(8,Scores!$K$3:$AR$82,18,FALSE))))</f>
        <v/>
      </c>
      <c r="H28" s="17" t="str">
        <f>IF(ISNA(VLOOKUP(8,Scores!$K$3:$AR$82,19,FALSE))=TRUE,"",IF(VLOOKUP(8,Scores!$K$3:$AR$82,19,FALSE)="","",(VLOOKUP(8,Scores!$K$3:$AR$82,19,FALSE))))</f>
        <v/>
      </c>
      <c r="I28" s="17" t="str">
        <f>IF(ISNA(VLOOKUP(8,Scores!$K$3:$AR$82,30,FALSE))=TRUE,"",IF(VLOOKUP(8,Scores!$K$3:$AR$82,30,FALSE)="","",(VLOOKUP(8,Scores!$K$3:$AR$82,30,FALSE))))</f>
        <v/>
      </c>
      <c r="J28" s="17" t="str">
        <f>IF(ISNA(VLOOKUP(8,Scores!$K$3:$AR$82,1,FALSE))=TRUE,"",IF(VLOOKUP(8,Scores!$K$3:$AR$82,1,FALSE)="","",(VLOOKUP(8,Scores!$K$3:$AR$82,1,FALSE))))</f>
        <v/>
      </c>
      <c r="L28" s="17" t="str">
        <f>IF(ISNA(VLOOKUP(8,Scores!$M$3:$AR$82,16,FALSE))=TRUE,"",IF(VLOOKUP(8,Scores!$M$3:$AR$82,16,FALSE)="","",(VLOOKUP(8,Scores!$M$3:$AR$82,16,FALSE))))</f>
        <v/>
      </c>
      <c r="M28" s="17" t="str">
        <f>IF(ISNA(VLOOKUP(8,Scores!$M$3:$AR$82,17,FALSE))=TRUE,"",IF(VLOOKUP(8,Scores!$M$3:$AR$82,17,FALSE)="","",(VLOOKUP(8,Scores!$M$3:$AR$82,17,FALSE))))</f>
        <v/>
      </c>
      <c r="N28" s="17" t="str">
        <f>IF(ISNA(VLOOKUP(8,Scores!$M$3:$AR$82,28,FALSE))=TRUE,"",IF(VLOOKUP(8,Scores!$M$3:$AR$82,28,FALSE)="","",(VLOOKUP(8,Scores!$M$3:$AR$82,28,FALSE))))</f>
        <v/>
      </c>
      <c r="O28" s="17" t="str">
        <f>IF(ISNA(VLOOKUP(8,Scores!$M$3:$AR$82,1,FALSE))=TRUE,"",IF(VLOOKUP(8,Scores!$M$3:$AR$82,1,FALSE)="","",(VLOOKUP(8,Scores!$M$3:$AR$82,1,FALSE))))</f>
        <v/>
      </c>
      <c r="Q28" s="17" t="str">
        <f>IF(ISNA(VLOOKUP(8,Scores!$O$3:$AR$82,14,FALSE))=TRUE,"",IF(VLOOKUP(8,Scores!$O$3:$AR$82,14,FALSE)="","",(VLOOKUP(8,Scores!$O$3:$AR$82,14,FALSE))))</f>
        <v/>
      </c>
      <c r="R28" s="17" t="str">
        <f>IF(ISNA(VLOOKUP(8,Scores!$O$3:$AR$82,15,FALSE))=TRUE,"",IF(VLOOKUP(8,Scores!$O$3:$AR$82,15,FALSE)="","",(VLOOKUP(8,Scores!$O$3:$AR$82,15,FALSE))))</f>
        <v/>
      </c>
      <c r="S28" s="17" t="str">
        <f>IF(ISNA(VLOOKUP(8,Scores!$O$3:$AR$82,26,FALSE))=TRUE,"",IF(VLOOKUP(8,Scores!$O$3:$AR$82,26,FALSE)="","",(VLOOKUP(8,Scores!$O$3:$AR$82,26,FALSE))))</f>
        <v/>
      </c>
      <c r="T28" s="17" t="str">
        <f>IF(ISNA(VLOOKUP(8,Scores!$O$3:$AR$82,1,FALSE))=TRUE,"",IF(VLOOKUP(8,Scores!$O$3:$AR$82,1,FALSE)="","",(VLOOKUP(8,Scores!$O$3:$AR$82,1,FALSE))))</f>
        <v/>
      </c>
    </row>
    <row r="29" spans="2:20" x14ac:dyDescent="0.25">
      <c r="B29" s="17" t="str">
        <f>IF(ISNA(VLOOKUP(9,Scores!$I$3:$AR$82,20,FALSE))=TRUE,"",IF(VLOOKUP(9,Scores!$I$3:$AR$82,20,FALSE)="","",(VLOOKUP(9,Scores!$I$3:$AR$82,20,FALSE))))</f>
        <v/>
      </c>
      <c r="C29" s="17" t="str">
        <f>IF(ISNA(VLOOKUP(9,Scores!$I$3:$AR$82,21,FALSE))=TRUE,"",IF(VLOOKUP(9,Scores!$I$3:$AR$82,21,FALSE)="","",(VLOOKUP(9,Scores!$I$3:$AR$82,21,FALSE))))</f>
        <v/>
      </c>
      <c r="D29" s="17" t="str">
        <f>IF(ISNA(VLOOKUP(9,Scores!$I$3:$AR$82,32,FALSE))=TRUE,"",IF(VLOOKUP(9,Scores!$I$3:$AR$82,32,FALSE)="","",(VLOOKUP(9,Scores!$I$3:$AR$82,32,FALSE))))</f>
        <v/>
      </c>
      <c r="E29" s="17" t="str">
        <f>IF(ISNA(VLOOKUP(9,Scores!$I$3:$AR$82,1,FALSE))=TRUE,"",IF(VLOOKUP(9,Scores!$I$3:$AR$82,1,FALSE)="","",(VLOOKUP(9,Scores!$I$3:$AR$82,1,FALSE))))</f>
        <v/>
      </c>
      <c r="G29" s="17" t="str">
        <f>IF(ISNA(VLOOKUP(9,Scores!$K$3:$AR$82,18,FALSE))=TRUE,"",IF(VLOOKUP(9,Scores!$K$3:$AR$82,18,FALSE)="","",(VLOOKUP(9,Scores!$K$3:$AR$82,18,FALSE))))</f>
        <v/>
      </c>
      <c r="H29" s="17" t="str">
        <f>IF(ISNA(VLOOKUP(9,Scores!$K$3:$AR$82,19,FALSE))=TRUE,"",IF(VLOOKUP(9,Scores!$K$3:$AR$82,19,FALSE)="","",(VLOOKUP(9,Scores!$K$3:$AR$82,19,FALSE))))</f>
        <v/>
      </c>
      <c r="I29" s="17" t="str">
        <f>IF(ISNA(VLOOKUP(9,Scores!$K$3:$AR$82,30,FALSE))=TRUE,"",IF(VLOOKUP(9,Scores!$K$3:$AR$82,30,FALSE)="","",(VLOOKUP(9,Scores!$K$3:$AR$82,30,FALSE))))</f>
        <v/>
      </c>
      <c r="J29" s="17" t="str">
        <f>IF(ISNA(VLOOKUP(9,Scores!$K$3:$AR$82,1,FALSE))=TRUE,"",IF(VLOOKUP(9,Scores!$K$3:$AR$82,1,FALSE)="","",(VLOOKUP(9,Scores!$K$3:$AR$82,1,FALSE))))</f>
        <v/>
      </c>
      <c r="L29" s="17" t="str">
        <f>IF(ISNA(VLOOKUP(9,Scores!$M$3:$AR$82,16,FALSE))=TRUE,"",IF(VLOOKUP(9,Scores!$M$3:$AR$82,16,FALSE)="","",(VLOOKUP(9,Scores!$M$3:$AR$82,16,FALSE))))</f>
        <v/>
      </c>
      <c r="M29" s="17" t="str">
        <f>IF(ISNA(VLOOKUP(9,Scores!$M$3:$AR$82,17,FALSE))=TRUE,"",IF(VLOOKUP(9,Scores!$M$3:$AR$82,17,FALSE)="","",(VLOOKUP(9,Scores!$M$3:$AR$82,17,FALSE))))</f>
        <v/>
      </c>
      <c r="N29" s="17" t="str">
        <f>IF(ISNA(VLOOKUP(9,Scores!$M$3:$AR$82,28,FALSE))=TRUE,"",IF(VLOOKUP(9,Scores!$M$3:$AR$82,28,FALSE)="","",(VLOOKUP(9,Scores!$M$3:$AR$82,28,FALSE))))</f>
        <v/>
      </c>
      <c r="O29" s="17" t="str">
        <f>IF(ISNA(VLOOKUP(9,Scores!$M$3:$AR$82,1,FALSE))=TRUE,"",IF(VLOOKUP(9,Scores!$M$3:$AR$82,1,FALSE)="","",(VLOOKUP(9,Scores!$M$3:$AR$82,1,FALSE))))</f>
        <v/>
      </c>
      <c r="Q29" s="17" t="str">
        <f>IF(ISNA(VLOOKUP(9,Scores!$O$3:$AR$82,14,FALSE))=TRUE,"",IF(VLOOKUP(9,Scores!$O$3:$AR$82,14,FALSE)="","",(VLOOKUP(9,Scores!$O$3:$AR$82,14,FALSE))))</f>
        <v/>
      </c>
      <c r="R29" s="17" t="str">
        <f>IF(ISNA(VLOOKUP(9,Scores!$O$3:$AR$82,15,FALSE))=TRUE,"",IF(VLOOKUP(9,Scores!$O$3:$AR$82,15,FALSE)="","",(VLOOKUP(9,Scores!$O$3:$AR$82,15,FALSE))))</f>
        <v/>
      </c>
      <c r="S29" s="17" t="str">
        <f>IF(ISNA(VLOOKUP(9,Scores!$O$3:$AR$82,26,FALSE))=TRUE,"",IF(VLOOKUP(9,Scores!$O$3:$AR$82,26,FALSE)="","",(VLOOKUP(9,Scores!$O$3:$AR$82,26,FALSE))))</f>
        <v/>
      </c>
      <c r="T29" s="17" t="str">
        <f>IF(ISNA(VLOOKUP(9,Scores!$O$3:$AR$82,1,FALSE))=TRUE,"",IF(VLOOKUP(9,Scores!$O$3:$AR$82,1,FALSE)="","",(VLOOKUP(9,Scores!$O$3:$AR$82,1,FALSE))))</f>
        <v/>
      </c>
    </row>
    <row r="30" spans="2:20" x14ac:dyDescent="0.25">
      <c r="B30" s="17" t="str">
        <f>IF(ISNA(VLOOKUP(10,Scores!$I$3:$AR$82,20,FALSE))=TRUE,"",IF(VLOOKUP(10,Scores!$I$3:$AR$82,20,FALSE)="","",(VLOOKUP(10,Scores!$I$3:$AR$82,20,FALSE))))</f>
        <v/>
      </c>
      <c r="C30" s="17" t="str">
        <f>IF(ISNA(VLOOKUP(10,Scores!$I$3:$AR$82,21,FALSE))=TRUE,"",IF(VLOOKUP(10,Scores!$I$3:$AR$82,21,FALSE)="","",(VLOOKUP(10,Scores!$I$3:$AR$82,21,FALSE))))</f>
        <v/>
      </c>
      <c r="D30" s="17" t="str">
        <f>IF(ISNA(VLOOKUP(10,Scores!$I$3:$AR$82,32,FALSE))=TRUE,"",IF(VLOOKUP(10,Scores!$I$3:$AR$82,32,FALSE)="","",(VLOOKUP(10,Scores!$I$3:$AR$82,32,FALSE))))</f>
        <v/>
      </c>
      <c r="E30" s="17" t="str">
        <f>IF(ISNA(VLOOKUP(10,Scores!$I$3:$AR$82,1,FALSE))=TRUE,"",IF(VLOOKUP(10,Scores!$I$3:$AR$82,1,FALSE)="","",(VLOOKUP(10,Scores!$I$3:$AR$82,1,FALSE))))</f>
        <v/>
      </c>
      <c r="G30" s="17" t="str">
        <f>IF(ISNA(VLOOKUP(10,Scores!$K$3:$AR$82,18,FALSE))=TRUE,"",IF(VLOOKUP(10,Scores!$K$3:$AR$82,18,FALSE)="","",(VLOOKUP(10,Scores!$K$3:$AR$82,18,FALSE))))</f>
        <v/>
      </c>
      <c r="H30" s="17" t="str">
        <f>IF(ISNA(VLOOKUP(10,Scores!$K$3:$AR$82,19,FALSE))=TRUE,"",IF(VLOOKUP(10,Scores!$K$3:$AR$82,19,FALSE)="","",(VLOOKUP(10,Scores!$K$3:$AR$82,19,FALSE))))</f>
        <v/>
      </c>
      <c r="I30" s="17" t="str">
        <f>IF(ISNA(VLOOKUP(10,Scores!$K$3:$AR$82,30,FALSE))=TRUE,"",IF(VLOOKUP(10,Scores!$K$3:$AR$82,30,FALSE)="","",(VLOOKUP(10,Scores!$K$3:$AR$82,30,FALSE))))</f>
        <v/>
      </c>
      <c r="J30" s="17" t="str">
        <f>IF(ISNA(VLOOKUP(10,Scores!$K$3:$AR$82,1,FALSE))=TRUE,"",IF(VLOOKUP(10,Scores!$K$3:$AR$82,1,FALSE)="","",(VLOOKUP(10,Scores!$K$3:$AR$82,1,FALSE))))</f>
        <v/>
      </c>
      <c r="L30" s="17" t="str">
        <f>IF(ISNA(VLOOKUP(10,Scores!$M$3:$AR$82,16,FALSE))=TRUE,"",IF(VLOOKUP(10,Scores!$M$3:$AR$82,16,FALSE)="","",(VLOOKUP(10,Scores!$M$3:$AR$82,16,FALSE))))</f>
        <v/>
      </c>
      <c r="M30" s="17" t="str">
        <f>IF(ISNA(VLOOKUP(10,Scores!$M$3:$AR$82,17,FALSE))=TRUE,"",IF(VLOOKUP(10,Scores!$M$3:$AR$82,17,FALSE)="","",(VLOOKUP(10,Scores!$M$3:$AR$82,17,FALSE))))</f>
        <v/>
      </c>
      <c r="N30" s="17" t="str">
        <f>IF(ISNA(VLOOKUP(10,Scores!$M$3:$AR$82,28,FALSE))=TRUE,"",IF(VLOOKUP(10,Scores!$M$3:$AR$82,28,FALSE)="","",(VLOOKUP(10,Scores!$M$3:$AR$82,28,FALSE))))</f>
        <v/>
      </c>
      <c r="O30" s="17" t="str">
        <f>IF(ISNA(VLOOKUP(10,Scores!$M$3:$AR$82,1,FALSE))=TRUE,"",IF(VLOOKUP(10,Scores!$M$3:$AR$82,1,FALSE)="","",(VLOOKUP(10,Scores!$M$3:$AR$82,1,FALSE))))</f>
        <v/>
      </c>
      <c r="Q30" s="17" t="str">
        <f>IF(ISNA(VLOOKUP(10,Scores!$O$3:$AR$82,14,FALSE))=TRUE,"",IF(VLOOKUP(10,Scores!$O$3:$AR$82,14,FALSE)="","",(VLOOKUP(10,Scores!$O$3:$AR$82,14,FALSE))))</f>
        <v/>
      </c>
      <c r="R30" s="17" t="str">
        <f>IF(ISNA(VLOOKUP(10,Scores!$O$3:$AR$82,15,FALSE))=TRUE,"",IF(VLOOKUP(10,Scores!$O$3:$AR$82,15,FALSE)="","",(VLOOKUP(10,Scores!$O$3:$AR$82,15,FALSE))))</f>
        <v/>
      </c>
      <c r="S30" s="17" t="str">
        <f>IF(ISNA(VLOOKUP(10,Scores!$O$3:$AR$82,26,FALSE))=TRUE,"",IF(VLOOKUP(10,Scores!$O$3:$AR$82,26,FALSE)="","",(VLOOKUP(10,Scores!$O$3:$AR$82,26,FALSE))))</f>
        <v/>
      </c>
      <c r="T30" s="17" t="str">
        <f>IF(ISNA(VLOOKUP(10,Scores!$O$3:$AR$82,1,FALSE))=TRUE,"",IF(VLOOKUP(10,Scores!$O$3:$AR$82,1,FALSE)="","",(VLOOKUP(10,Scores!$O$3:$AR$82,1,FALSE))))</f>
        <v/>
      </c>
    </row>
    <row r="31" spans="2:20" x14ac:dyDescent="0.25">
      <c r="B31" s="17" t="str">
        <f>IF(ISNA(VLOOKUP(11,Scores!$I$3:$AR$82,20,FALSE))=TRUE,"",IF(VLOOKUP(11,Scores!$I$3:$AR$82,20,FALSE)="","",(VLOOKUP(11,Scores!$I$3:$AR$82,20,FALSE))))</f>
        <v/>
      </c>
      <c r="C31" s="17" t="str">
        <f>IF(ISNA(VLOOKUP(11,Scores!$I$3:$AR$82,21,FALSE))=TRUE,"",IF(VLOOKUP(11,Scores!$I$3:$AR$82,21,FALSE)="","",(VLOOKUP(11,Scores!$I$3:$AR$82,21,FALSE))))</f>
        <v/>
      </c>
      <c r="D31" s="17" t="str">
        <f>IF(ISNA(VLOOKUP(11,Scores!$I$3:$AR$82,32,FALSE))=TRUE,"",IF(VLOOKUP(11,Scores!$I$3:$AR$82,32,FALSE)="","",(VLOOKUP(11,Scores!$I$3:$AR$82,32,FALSE))))</f>
        <v/>
      </c>
      <c r="E31" s="17" t="str">
        <f>IF(ISNA(VLOOKUP(11,Scores!$I$3:$AR$82,1,FALSE))=TRUE,"",IF(VLOOKUP(11,Scores!$I$3:$AR$82,1,FALSE)="","",(VLOOKUP(11,Scores!$I$3:$AR$82,1,FALSE))))</f>
        <v/>
      </c>
      <c r="G31" s="17" t="str">
        <f>IF(ISNA(VLOOKUP(11,Scores!$K$3:$AR$82,18,FALSE))=TRUE,"",IF(VLOOKUP(11,Scores!$K$3:$AR$82,18,FALSE)="","",(VLOOKUP(11,Scores!$K$3:$AR$82,18,FALSE))))</f>
        <v/>
      </c>
      <c r="H31" s="17" t="str">
        <f>IF(ISNA(VLOOKUP(11,Scores!$K$3:$AR$82,19,FALSE))=TRUE,"",IF(VLOOKUP(11,Scores!$K$3:$AR$82,19,FALSE)="","",(VLOOKUP(11,Scores!$K$3:$AR$82,19,FALSE))))</f>
        <v/>
      </c>
      <c r="I31" s="17" t="str">
        <f>IF(ISNA(VLOOKUP(11,Scores!$K$3:$AR$82,30,FALSE))=TRUE,"",IF(VLOOKUP(11,Scores!$K$3:$AR$82,30,FALSE)="","",(VLOOKUP(11,Scores!$K$3:$AR$82,30,FALSE))))</f>
        <v/>
      </c>
      <c r="J31" s="17" t="str">
        <f>IF(ISNA(VLOOKUP(11,Scores!$K$3:$AR$82,1,FALSE))=TRUE,"",IF(VLOOKUP(11,Scores!$K$3:$AR$82,1,FALSE)="","",(VLOOKUP(11,Scores!$K$3:$AR$82,1,FALSE))))</f>
        <v/>
      </c>
      <c r="L31" s="17" t="str">
        <f>IF(ISNA(VLOOKUP(11,Scores!$M$3:$AR$82,16,FALSE))=TRUE,"",IF(VLOOKUP(11,Scores!$M$3:$AR$82,16,FALSE)="","",(VLOOKUP(11,Scores!$M$3:$AR$82,16,FALSE))))</f>
        <v/>
      </c>
      <c r="M31" s="17" t="str">
        <f>IF(ISNA(VLOOKUP(11,Scores!$M$3:$AR$82,17,FALSE))=TRUE,"",IF(VLOOKUP(11,Scores!$M$3:$AR$82,17,FALSE)="","",(VLOOKUP(11,Scores!$M$3:$AR$82,17,FALSE))))</f>
        <v/>
      </c>
      <c r="N31" s="17" t="str">
        <f>IF(ISNA(VLOOKUP(11,Scores!$M$3:$AR$82,28,FALSE))=TRUE,"",IF(VLOOKUP(11,Scores!$M$3:$AR$82,28,FALSE)="","",(VLOOKUP(11,Scores!$M$3:$AR$82,28,FALSE))))</f>
        <v/>
      </c>
      <c r="O31" s="17" t="str">
        <f>IF(ISNA(VLOOKUP(11,Scores!$M$3:$AR$82,1,FALSE))=TRUE,"",IF(VLOOKUP(11,Scores!$M$3:$AR$82,1,FALSE)="","",(VLOOKUP(11,Scores!$M$3:$AR$82,1,FALSE))))</f>
        <v/>
      </c>
      <c r="Q31" s="17" t="str">
        <f>IF(ISNA(VLOOKUP(11,Scores!$O$3:$AR$82,14,FALSE))=TRUE,"",IF(VLOOKUP(11,Scores!$O$3:$AR$82,14,FALSE)="","",(VLOOKUP(11,Scores!$O$3:$AR$82,14,FALSE))))</f>
        <v/>
      </c>
      <c r="R31" s="17" t="str">
        <f>IF(ISNA(VLOOKUP(11,Scores!$O$3:$AR$82,15,FALSE))=TRUE,"",IF(VLOOKUP(11,Scores!$O$3:$AR$82,15,FALSE)="","",(VLOOKUP(11,Scores!$O$3:$AR$82,15,FALSE))))</f>
        <v/>
      </c>
      <c r="S31" s="17" t="str">
        <f>IF(ISNA(VLOOKUP(11,Scores!$O$3:$AR$82,26,FALSE))=TRUE,"",IF(VLOOKUP(11,Scores!$O$3:$AR$82,26,FALSE)="","",(VLOOKUP(11,Scores!$O$3:$AR$82,26,FALSE))))</f>
        <v/>
      </c>
      <c r="T31" s="17" t="str">
        <f>IF(ISNA(VLOOKUP(11,Scores!$O$3:$AR$82,1,FALSE))=TRUE,"",IF(VLOOKUP(11,Scores!$O$3:$AR$82,1,FALSE)="","",(VLOOKUP(11,Scores!$O$3:$AR$82,1,FALSE))))</f>
        <v/>
      </c>
    </row>
    <row r="32" spans="2:20" x14ac:dyDescent="0.25">
      <c r="B32" s="17" t="str">
        <f>IF(ISNA(VLOOKUP(12,Scores!$I$3:$AR$82,20,FALSE))=TRUE,"",IF(VLOOKUP(12,Scores!$I$3:$AR$82,20,FALSE)="","",(VLOOKUP(12,Scores!$I$3:$AR$82,20,FALSE))))</f>
        <v/>
      </c>
      <c r="C32" s="17" t="str">
        <f>IF(ISNA(VLOOKUP(12,Scores!$I$3:$AR$82,21,FALSE))=TRUE,"",IF(VLOOKUP(12,Scores!$I$3:$AR$82,21,FALSE)="","",(VLOOKUP(12,Scores!$I$3:$AR$82,21,FALSE))))</f>
        <v/>
      </c>
      <c r="D32" s="17" t="str">
        <f>IF(ISNA(VLOOKUP(12,Scores!$I$3:$AR$82,32,FALSE))=TRUE,"",IF(VLOOKUP(12,Scores!$I$3:$AR$82,32,FALSE)="","",(VLOOKUP(12,Scores!$I$3:$AR$82,32,FALSE))))</f>
        <v/>
      </c>
      <c r="E32" s="17" t="str">
        <f>IF(ISNA(VLOOKUP(12,Scores!$I$3:$AR$82,1,FALSE))=TRUE,"",IF(VLOOKUP(12,Scores!$I$3:$AR$82,1,FALSE)="","",(VLOOKUP(12,Scores!$I$3:$AR$82,1,FALSE))))</f>
        <v/>
      </c>
      <c r="G32" s="17" t="str">
        <f>IF(ISNA(VLOOKUP(12,Scores!$K$3:$AR$82,18,FALSE))=TRUE,"",IF(VLOOKUP(12,Scores!$K$3:$AR$82,18,FALSE)="","",(VLOOKUP(12,Scores!$K$3:$AR$82,18,FALSE))))</f>
        <v/>
      </c>
      <c r="H32" s="17" t="str">
        <f>IF(ISNA(VLOOKUP(12,Scores!$K$3:$AR$82,19,FALSE))=TRUE,"",IF(VLOOKUP(12,Scores!$K$3:$AR$82,19,FALSE)="","",(VLOOKUP(12,Scores!$K$3:$AR$82,19,FALSE))))</f>
        <v/>
      </c>
      <c r="I32" s="17" t="str">
        <f>IF(ISNA(VLOOKUP(12,Scores!$K$3:$AR$82,30,FALSE))=TRUE,"",IF(VLOOKUP(12,Scores!$K$3:$AR$82,30,FALSE)="","",(VLOOKUP(12,Scores!$K$3:$AR$82,30,FALSE))))</f>
        <v/>
      </c>
      <c r="J32" s="17" t="str">
        <f>IF(ISNA(VLOOKUP(12,Scores!$K$3:$AR$82,1,FALSE))=TRUE,"",IF(VLOOKUP(12,Scores!$K$3:$AR$82,1,FALSE)="","",(VLOOKUP(12,Scores!$K$3:$AR$82,1,FALSE))))</f>
        <v/>
      </c>
      <c r="L32" s="17" t="str">
        <f>IF(ISNA(VLOOKUP(12,Scores!$M$3:$AR$82,16,FALSE))=TRUE,"",IF(VLOOKUP(12,Scores!$M$3:$AR$82,16,FALSE)="","",(VLOOKUP(12,Scores!$M$3:$AR$82,16,FALSE))))</f>
        <v/>
      </c>
      <c r="M32" s="17" t="str">
        <f>IF(ISNA(VLOOKUP(12,Scores!$M$3:$AR$82,17,FALSE))=TRUE,"",IF(VLOOKUP(12,Scores!$M$3:$AR$82,17,FALSE)="","",(VLOOKUP(12,Scores!$M$3:$AR$82,17,FALSE))))</f>
        <v/>
      </c>
      <c r="N32" s="17" t="str">
        <f>IF(ISNA(VLOOKUP(12,Scores!$M$3:$AR$82,28,FALSE))=TRUE,"",IF(VLOOKUP(12,Scores!$M$3:$AR$82,28,FALSE)="","",(VLOOKUP(12,Scores!$M$3:$AR$82,28,FALSE))))</f>
        <v/>
      </c>
      <c r="O32" s="17" t="str">
        <f>IF(ISNA(VLOOKUP(12,Scores!$M$3:$AR$82,1,FALSE))=TRUE,"",IF(VLOOKUP(12,Scores!$M$3:$AR$82,1,FALSE)="","",(VLOOKUP(12,Scores!$M$3:$AR$82,1,FALSE))))</f>
        <v/>
      </c>
      <c r="Q32" s="17" t="str">
        <f>IF(ISNA(VLOOKUP(12,Scores!$O$3:$AR$82,14,FALSE))=TRUE,"",IF(VLOOKUP(12,Scores!$O$3:$AR$82,14,FALSE)="","",(VLOOKUP(12,Scores!$O$3:$AR$82,14,FALSE))))</f>
        <v/>
      </c>
      <c r="R32" s="17" t="str">
        <f>IF(ISNA(VLOOKUP(12,Scores!$O$3:$AR$82,15,FALSE))=TRUE,"",IF(VLOOKUP(12,Scores!$O$3:$AR$82,15,FALSE)="","",(VLOOKUP(12,Scores!$O$3:$AR$82,15,FALSE))))</f>
        <v/>
      </c>
      <c r="S32" s="17" t="str">
        <f>IF(ISNA(VLOOKUP(12,Scores!$O$3:$AR$82,26,FALSE))=TRUE,"",IF(VLOOKUP(12,Scores!$O$3:$AR$82,26,FALSE)="","",(VLOOKUP(12,Scores!$O$3:$AR$82,26,FALSE))))</f>
        <v/>
      </c>
      <c r="T32" s="17" t="str">
        <f>IF(ISNA(VLOOKUP(12,Scores!$O$3:$AR$82,1,FALSE))=TRUE,"",IF(VLOOKUP(12,Scores!$O$3:$AR$82,1,FALSE)="","",(VLOOKUP(12,Scores!$O$3:$AR$82,1,FALSE))))</f>
        <v/>
      </c>
    </row>
    <row r="33" spans="2:20" x14ac:dyDescent="0.25">
      <c r="B33" s="17" t="str">
        <f>IF(ISNA(VLOOKUP(13,Scores!$I$3:$AR$82,20,FALSE))=TRUE,"",IF(VLOOKUP(13,Scores!$I$3:$AR$82,20,FALSE)="","",(VLOOKUP(13,Scores!$I$3:$AR$82,20,FALSE))))</f>
        <v/>
      </c>
      <c r="C33" s="17" t="str">
        <f>IF(ISNA(VLOOKUP(13,Scores!$I$3:$AR$82,21,FALSE))=TRUE,"",IF(VLOOKUP(13,Scores!$I$3:$AR$82,21,FALSE)="","",(VLOOKUP(13,Scores!$I$3:$AR$82,21,FALSE))))</f>
        <v/>
      </c>
      <c r="D33" s="17" t="str">
        <f>IF(ISNA(VLOOKUP(13,Scores!$I$3:$AR$82,32,FALSE))=TRUE,"",IF(VLOOKUP(13,Scores!$I$3:$AR$82,32,FALSE)="","",(VLOOKUP(13,Scores!$I$3:$AR$82,32,FALSE))))</f>
        <v/>
      </c>
      <c r="E33" s="17" t="str">
        <f>IF(ISNA(VLOOKUP(13,Scores!$I$3:$AR$82,1,FALSE))=TRUE,"",IF(VLOOKUP(13,Scores!$I$3:$AR$82,1,FALSE)="","",(VLOOKUP(13,Scores!$I$3:$AR$82,1,FALSE))))</f>
        <v/>
      </c>
      <c r="G33" s="17" t="str">
        <f>IF(ISNA(VLOOKUP(13,Scores!$K$3:$AR$82,18,FALSE))=TRUE,"",IF(VLOOKUP(13,Scores!$K$3:$AR$82,18,FALSE)="","",(VLOOKUP(13,Scores!$K$3:$AR$82,18,FALSE))))</f>
        <v/>
      </c>
      <c r="H33" s="17" t="str">
        <f>IF(ISNA(VLOOKUP(13,Scores!$K$3:$AR$82,19,FALSE))=TRUE,"",IF(VLOOKUP(13,Scores!$K$3:$AR$82,19,FALSE)="","",(VLOOKUP(13,Scores!$K$3:$AR$82,19,FALSE))))</f>
        <v/>
      </c>
      <c r="I33" s="17" t="str">
        <f>IF(ISNA(VLOOKUP(13,Scores!$K$3:$AR$82,30,FALSE))=TRUE,"",IF(VLOOKUP(13,Scores!$K$3:$AR$82,30,FALSE)="","",(VLOOKUP(13,Scores!$K$3:$AR$82,30,FALSE))))</f>
        <v/>
      </c>
      <c r="J33" s="17" t="str">
        <f>IF(ISNA(VLOOKUP(13,Scores!$K$3:$AR$82,1,FALSE))=TRUE,"",IF(VLOOKUP(13,Scores!$K$3:$AR$82,1,FALSE)="","",(VLOOKUP(13,Scores!$K$3:$AR$82,1,FALSE))))</f>
        <v/>
      </c>
      <c r="L33" s="17" t="str">
        <f>IF(ISNA(VLOOKUP(13,Scores!$M$3:$AR$82,16,FALSE))=TRUE,"",IF(VLOOKUP(13,Scores!$M$3:$AR$82,16,FALSE)="","",(VLOOKUP(13,Scores!$M$3:$AR$82,16,FALSE))))</f>
        <v/>
      </c>
      <c r="M33" s="17" t="str">
        <f>IF(ISNA(VLOOKUP(13,Scores!$M$3:$AR$82,17,FALSE))=TRUE,"",IF(VLOOKUP(13,Scores!$M$3:$AR$82,17,FALSE)="","",(VLOOKUP(13,Scores!$M$3:$AR$82,17,FALSE))))</f>
        <v/>
      </c>
      <c r="N33" s="17" t="str">
        <f>IF(ISNA(VLOOKUP(13,Scores!$M$3:$AR$82,28,FALSE))=TRUE,"",IF(VLOOKUP(13,Scores!$M$3:$AR$82,28,FALSE)="","",(VLOOKUP(13,Scores!$M$3:$AR$82,28,FALSE))))</f>
        <v/>
      </c>
      <c r="O33" s="17" t="str">
        <f>IF(ISNA(VLOOKUP(13,Scores!$M$3:$AR$82,1,FALSE))=TRUE,"",IF(VLOOKUP(13,Scores!$M$3:$AR$82,1,FALSE)="","",(VLOOKUP(13,Scores!$M$3:$AR$82,1,FALSE))))</f>
        <v/>
      </c>
      <c r="Q33" s="17" t="str">
        <f>IF(ISNA(VLOOKUP(13,Scores!$O$3:$AR$82,14,FALSE))=TRUE,"",IF(VLOOKUP(13,Scores!$O$3:$AR$82,14,FALSE)="","",(VLOOKUP(13,Scores!$O$3:$AR$82,14,FALSE))))</f>
        <v/>
      </c>
      <c r="R33" s="17" t="str">
        <f>IF(ISNA(VLOOKUP(13,Scores!$O$3:$AR$82,15,FALSE))=TRUE,"",IF(VLOOKUP(13,Scores!$O$3:$AR$82,15,FALSE)="","",(VLOOKUP(13,Scores!$O$3:$AR$82,15,FALSE))))</f>
        <v/>
      </c>
      <c r="S33" s="17" t="str">
        <f>IF(ISNA(VLOOKUP(13,Scores!$O$3:$AR$82,26,FALSE))=TRUE,"",IF(VLOOKUP(13,Scores!$O$3:$AR$82,26,FALSE)="","",(VLOOKUP(13,Scores!$O$3:$AR$82,26,FALSE))))</f>
        <v/>
      </c>
      <c r="T33" s="17" t="str">
        <f>IF(ISNA(VLOOKUP(13,Scores!$O$3:$AR$82,1,FALSE))=TRUE,"",IF(VLOOKUP(13,Scores!$O$3:$AR$82,1,FALSE)="","",(VLOOKUP(13,Scores!$O$3:$AR$82,1,FALSE))))</f>
        <v/>
      </c>
    </row>
    <row r="34" spans="2:20" x14ac:dyDescent="0.25">
      <c r="B34" s="17" t="str">
        <f>IF(ISNA(VLOOKUP(14,Scores!$I$3:$AR$82,20,FALSE))=TRUE,"",IF(VLOOKUP(14,Scores!$I$3:$AR$82,20,FALSE)="","",(VLOOKUP(14,Scores!$I$3:$AR$82,20,FALSE))))</f>
        <v/>
      </c>
      <c r="C34" s="17" t="str">
        <f>IF(ISNA(VLOOKUP(14,Scores!$I$3:$AR$82,21,FALSE))=TRUE,"",IF(VLOOKUP(14,Scores!$I$3:$AR$82,21,FALSE)="","",(VLOOKUP(14,Scores!$I$3:$AR$82,21,FALSE))))</f>
        <v/>
      </c>
      <c r="D34" s="17" t="str">
        <f>IF(ISNA(VLOOKUP(14,Scores!$I$3:$AR$82,32,FALSE))=TRUE,"",IF(VLOOKUP(14,Scores!$I$3:$AR$82,32,FALSE)="","",(VLOOKUP(14,Scores!$I$3:$AR$82,32,FALSE))))</f>
        <v/>
      </c>
      <c r="E34" s="17" t="str">
        <f>IF(ISNA(VLOOKUP(14,Scores!$I$3:$AR$82,1,FALSE))=TRUE,"",IF(VLOOKUP(14,Scores!$I$3:$AR$82,1,FALSE)="","",(VLOOKUP(14,Scores!$I$3:$AR$82,1,FALSE))))</f>
        <v/>
      </c>
      <c r="G34" s="17" t="str">
        <f>IF(ISNA(VLOOKUP(14,Scores!$K$3:$AR$82,18,FALSE))=TRUE,"",IF(VLOOKUP(14,Scores!$K$3:$AR$82,18,FALSE)="","",(VLOOKUP(14,Scores!$K$3:$AR$82,18,FALSE))))</f>
        <v/>
      </c>
      <c r="H34" s="17" t="str">
        <f>IF(ISNA(VLOOKUP(14,Scores!$K$3:$AR$82,19,FALSE))=TRUE,"",IF(VLOOKUP(14,Scores!$K$3:$AR$82,19,FALSE)="","",(VLOOKUP(14,Scores!$K$3:$AR$82,19,FALSE))))</f>
        <v/>
      </c>
      <c r="I34" s="17" t="str">
        <f>IF(ISNA(VLOOKUP(14,Scores!$K$3:$AR$82,30,FALSE))=TRUE,"",IF(VLOOKUP(14,Scores!$K$3:$AR$82,30,FALSE)="","",(VLOOKUP(14,Scores!$K$3:$AR$82,30,FALSE))))</f>
        <v/>
      </c>
      <c r="J34" s="17" t="str">
        <f>IF(ISNA(VLOOKUP(14,Scores!$K$3:$AR$82,1,FALSE))=TRUE,"",IF(VLOOKUP(14,Scores!$K$3:$AR$82,1,FALSE)="","",(VLOOKUP(14,Scores!$K$3:$AR$82,1,FALSE))))</f>
        <v/>
      </c>
      <c r="L34" s="17" t="str">
        <f>IF(ISNA(VLOOKUP(14,Scores!$M$3:$AR$82,16,FALSE))=TRUE,"",IF(VLOOKUP(14,Scores!$M$3:$AR$82,16,FALSE)="","",(VLOOKUP(14,Scores!$M$3:$AR$82,16,FALSE))))</f>
        <v/>
      </c>
      <c r="M34" s="17" t="str">
        <f>IF(ISNA(VLOOKUP(14,Scores!$M$3:$AR$82,17,FALSE))=TRUE,"",IF(VLOOKUP(14,Scores!$M$3:$AR$82,17,FALSE)="","",(VLOOKUP(14,Scores!$M$3:$AR$82,17,FALSE))))</f>
        <v/>
      </c>
      <c r="N34" s="17" t="str">
        <f>IF(ISNA(VLOOKUP(14,Scores!$M$3:$AR$82,28,FALSE))=TRUE,"",IF(VLOOKUP(14,Scores!$M$3:$AR$82,28,FALSE)="","",(VLOOKUP(14,Scores!$M$3:$AR$82,28,FALSE))))</f>
        <v/>
      </c>
      <c r="O34" s="17" t="str">
        <f>IF(ISNA(VLOOKUP(14,Scores!$M$3:$AR$82,1,FALSE))=TRUE,"",IF(VLOOKUP(14,Scores!$M$3:$AR$82,1,FALSE)="","",(VLOOKUP(14,Scores!$M$3:$AR$82,1,FALSE))))</f>
        <v/>
      </c>
      <c r="Q34" s="17" t="str">
        <f>IF(ISNA(VLOOKUP(14,Scores!$O$3:$AR$82,14,FALSE))=TRUE,"",IF(VLOOKUP(14,Scores!$O$3:$AR$82,14,FALSE)="","",(VLOOKUP(14,Scores!$O$3:$AR$82,14,FALSE))))</f>
        <v/>
      </c>
      <c r="R34" s="17" t="str">
        <f>IF(ISNA(VLOOKUP(14,Scores!$O$3:$AR$82,15,FALSE))=TRUE,"",IF(VLOOKUP(14,Scores!$O$3:$AR$82,15,FALSE)="","",(VLOOKUP(14,Scores!$O$3:$AR$82,15,FALSE))))</f>
        <v/>
      </c>
      <c r="S34" s="17" t="str">
        <f>IF(ISNA(VLOOKUP(14,Scores!$O$3:$AR$82,26,FALSE))=TRUE,"",IF(VLOOKUP(14,Scores!$O$3:$AR$82,26,FALSE)="","",(VLOOKUP(14,Scores!$O$3:$AR$82,26,FALSE))))</f>
        <v/>
      </c>
      <c r="T34" s="17" t="str">
        <f>IF(ISNA(VLOOKUP(14,Scores!$O$3:$AR$82,1,FALSE))=TRUE,"",IF(VLOOKUP(14,Scores!$O$3:$AR$82,1,FALSE)="","",(VLOOKUP(14,Scores!$O$3:$AR$82,1,FALSE))))</f>
        <v/>
      </c>
    </row>
    <row r="35" spans="2:20" x14ac:dyDescent="0.25">
      <c r="B35" s="17" t="str">
        <f>IF(ISNA(VLOOKUP(15,Scores!$I$3:$AR$82,20,FALSE))=TRUE,"",IF(VLOOKUP(15,Scores!$I$3:$AR$82,20,FALSE)="","",(VLOOKUP(15,Scores!$I$3:$AR$82,20,FALSE))))</f>
        <v/>
      </c>
      <c r="C35" s="17" t="str">
        <f>IF(ISNA(VLOOKUP(15,Scores!$I$3:$AR$82,21,FALSE))=TRUE,"",IF(VLOOKUP(15,Scores!$I$3:$AR$82,21,FALSE)="","",(VLOOKUP(15,Scores!$I$3:$AR$82,21,FALSE))))</f>
        <v/>
      </c>
      <c r="D35" s="17" t="str">
        <f>IF(ISNA(VLOOKUP(15,Scores!$I$3:$AR$82,32,FALSE))=TRUE,"",IF(VLOOKUP(15,Scores!$I$3:$AR$82,32,FALSE)="","",(VLOOKUP(15,Scores!$I$3:$AR$82,32,FALSE))))</f>
        <v/>
      </c>
      <c r="E35" s="17" t="str">
        <f>IF(ISNA(VLOOKUP(15,Scores!$I$3:$AR$82,1,FALSE))=TRUE,"",IF(VLOOKUP(15,Scores!$I$3:$AR$82,1,FALSE)="","",(VLOOKUP(15,Scores!$I$3:$AR$82,1,FALSE))))</f>
        <v/>
      </c>
      <c r="G35" s="17" t="str">
        <f>IF(ISNA(VLOOKUP(15,Scores!$K$3:$AR$82,18,FALSE))=TRUE,"",IF(VLOOKUP(15,Scores!$K$3:$AR$82,18,FALSE)="","",(VLOOKUP(15,Scores!$K$3:$AR$82,18,FALSE))))</f>
        <v/>
      </c>
      <c r="H35" s="17" t="str">
        <f>IF(ISNA(VLOOKUP(15,Scores!$K$3:$AR$82,19,FALSE))=TRUE,"",IF(VLOOKUP(15,Scores!$K$3:$AR$82,19,FALSE)="","",(VLOOKUP(15,Scores!$K$3:$AR$82,19,FALSE))))</f>
        <v/>
      </c>
      <c r="I35" s="17" t="str">
        <f>IF(ISNA(VLOOKUP(15,Scores!$K$3:$AR$82,30,FALSE))=TRUE,"",IF(VLOOKUP(15,Scores!$K$3:$AR$82,30,FALSE)="","",(VLOOKUP(15,Scores!$K$3:$AR$82,30,FALSE))))</f>
        <v/>
      </c>
      <c r="J35" s="17" t="str">
        <f>IF(ISNA(VLOOKUP(15,Scores!$K$3:$AR$82,1,FALSE))=TRUE,"",IF(VLOOKUP(15,Scores!$K$3:$AR$82,1,FALSE)="","",(VLOOKUP(15,Scores!$K$3:$AR$82,1,FALSE))))</f>
        <v/>
      </c>
      <c r="L35" s="17" t="str">
        <f>IF(ISNA(VLOOKUP(15,Scores!$M$3:$AR$82,16,FALSE))=TRUE,"",IF(VLOOKUP(15,Scores!$M$3:$AR$82,16,FALSE)="","",(VLOOKUP(15,Scores!$M$3:$AR$82,16,FALSE))))</f>
        <v/>
      </c>
      <c r="M35" s="17" t="str">
        <f>IF(ISNA(VLOOKUP(15,Scores!$M$3:$AR$82,17,FALSE))=TRUE,"",IF(VLOOKUP(15,Scores!$M$3:$AR$82,17,FALSE)="","",(VLOOKUP(15,Scores!$M$3:$AR$82,17,FALSE))))</f>
        <v/>
      </c>
      <c r="N35" s="17" t="str">
        <f>IF(ISNA(VLOOKUP(15,Scores!$M$3:$AR$82,28,FALSE))=TRUE,"",IF(VLOOKUP(15,Scores!$M$3:$AR$82,28,FALSE)="","",(VLOOKUP(15,Scores!$M$3:$AR$82,28,FALSE))))</f>
        <v/>
      </c>
      <c r="O35" s="17" t="str">
        <f>IF(ISNA(VLOOKUP(15,Scores!$M$3:$AR$82,1,FALSE))=TRUE,"",IF(VLOOKUP(15,Scores!$M$3:$AR$82,1,FALSE)="","",(VLOOKUP(15,Scores!$M$3:$AR$82,1,FALSE))))</f>
        <v/>
      </c>
      <c r="Q35" s="17" t="str">
        <f>IF(ISNA(VLOOKUP(15,Scores!$O$3:$AR$82,14,FALSE))=TRUE,"",IF(VLOOKUP(15,Scores!$O$3:$AR$82,14,FALSE)="","",(VLOOKUP(15,Scores!$O$3:$AR$82,14,FALSE))))</f>
        <v/>
      </c>
      <c r="R35" s="17" t="str">
        <f>IF(ISNA(VLOOKUP(15,Scores!$O$3:$AR$82,15,FALSE))=TRUE,"",IF(VLOOKUP(15,Scores!$O$3:$AR$82,15,FALSE)="","",(VLOOKUP(15,Scores!$O$3:$AR$82,15,FALSE))))</f>
        <v/>
      </c>
      <c r="S35" s="17" t="str">
        <f>IF(ISNA(VLOOKUP(15,Scores!$O$3:$AR$82,26,FALSE))=TRUE,"",IF(VLOOKUP(15,Scores!$O$3:$AR$82,26,FALSE)="","",(VLOOKUP(15,Scores!$O$3:$AR$82,26,FALSE))))</f>
        <v/>
      </c>
      <c r="T35" s="17" t="str">
        <f>IF(ISNA(VLOOKUP(15,Scores!$O$3:$AR$82,1,FALSE))=TRUE,"",IF(VLOOKUP(15,Scores!$O$3:$AR$82,1,FALSE)="","",(VLOOKUP(15,Scores!$O$3:$AR$82,1,FALSE))))</f>
        <v/>
      </c>
    </row>
    <row r="37" spans="2:20" ht="15.75" x14ac:dyDescent="0.25">
      <c r="B37" s="123" t="str">
        <f>IF('Instructions &amp; Reference'!C14="","",'Instructions &amp; Reference'!C14)</f>
        <v>Junior Female</v>
      </c>
      <c r="C37" s="124"/>
      <c r="D37" s="124"/>
      <c r="E37" s="125"/>
      <c r="G37" s="123" t="str">
        <f>IF('Instructions &amp; Reference'!C15="","",'Instructions &amp; Reference'!C15)</f>
        <v>Junior Male</v>
      </c>
      <c r="H37" s="124"/>
      <c r="I37" s="124"/>
      <c r="J37" s="125"/>
      <c r="L37" s="123" t="str">
        <f>IF('Instructions &amp; Reference'!C16="","",'Instructions &amp; Reference'!C16)</f>
        <v>Senior Female</v>
      </c>
      <c r="M37" s="124"/>
      <c r="N37" s="124"/>
      <c r="O37" s="125"/>
      <c r="Q37" s="123" t="str">
        <f>IF('Instructions &amp; Reference'!C17="","",'Instructions &amp; Reference'!C17)</f>
        <v>Senior Male</v>
      </c>
      <c r="R37" s="124"/>
      <c r="S37" s="124"/>
      <c r="T37" s="125"/>
    </row>
    <row r="38" spans="2:20" s="80" customFormat="1" x14ac:dyDescent="0.25">
      <c r="B38" s="81" t="s">
        <v>137</v>
      </c>
      <c r="C38" s="81" t="s">
        <v>81</v>
      </c>
      <c r="D38" s="81" t="s">
        <v>96</v>
      </c>
      <c r="E38" s="81" t="s">
        <v>138</v>
      </c>
      <c r="F38" s="79"/>
      <c r="G38" s="81" t="s">
        <v>137</v>
      </c>
      <c r="H38" s="81" t="s">
        <v>81</v>
      </c>
      <c r="I38" s="81" t="s">
        <v>96</v>
      </c>
      <c r="J38" s="81" t="s">
        <v>138</v>
      </c>
      <c r="K38" s="79"/>
      <c r="L38" s="81" t="s">
        <v>137</v>
      </c>
      <c r="M38" s="81" t="s">
        <v>81</v>
      </c>
      <c r="N38" s="81" t="s">
        <v>96</v>
      </c>
      <c r="O38" s="81" t="s">
        <v>138</v>
      </c>
      <c r="P38" s="79"/>
      <c r="Q38" s="81" t="s">
        <v>137</v>
      </c>
      <c r="R38" s="81" t="s">
        <v>81</v>
      </c>
      <c r="S38" s="81" t="s">
        <v>96</v>
      </c>
      <c r="T38" s="81" t="s">
        <v>138</v>
      </c>
    </row>
    <row r="39" spans="2:20" x14ac:dyDescent="0.25">
      <c r="B39" s="17" t="str">
        <f>IF(ISNA(VLOOKUP(1,Scores!$Q$3:$AR$82,12,FALSE))=TRUE,"",IF(VLOOKUP(1,Scores!$Q$3:$AR$82,12,FALSE)="","",(VLOOKUP(1,Scores!$Q$3:$AR$82,12,FALSE))))</f>
        <v/>
      </c>
      <c r="C39" s="17" t="str">
        <f>IF(ISNA(VLOOKUP(1,Scores!$Q$3:$AR$82,13,FALSE))=TRUE,"",IF(VLOOKUP(1,Scores!$Q$3:$AR$82,13,FALSE)="","",(VLOOKUP(1,Scores!$Q$3:$AR$82,13,FALSE))))</f>
        <v/>
      </c>
      <c r="D39" s="17" t="str">
        <f>IF(ISNA(VLOOKUP(1,Scores!$Q$3:$AR$82,12,FALSE))=TRUE,"",IF(VLOOKUP(1,Scores!$Q$3:$AR$82,12,FALSE)="","",(VLOOKUP(1,Scores!$Q$3:$AR$82,12,FALSE))))</f>
        <v/>
      </c>
      <c r="E39" s="17" t="str">
        <f>IF(ISNA(VLOOKUP(1,Scores!$Q$3:$AR$82,1,FALSE))=TRUE,"",IF(VLOOKUP(1,Scores!$Q$3:$AR$82,1,FALSE)="","",(VLOOKUP(1,Scores!$Q$3:$AR$82,1,FALSE))))</f>
        <v/>
      </c>
      <c r="G39" s="17" t="str">
        <f>IF(ISNA(VLOOKUP(1,Scores!$S$3:$AR$82,10,FALSE))=TRUE,"",IF(VLOOKUP(1,Scores!$S$3:$AR$82,10,FALSE)="","",(VLOOKUP(1,Scores!$S$3:$AR$82,10,FALSE))))</f>
        <v/>
      </c>
      <c r="H39" s="17" t="str">
        <f>IF(ISNA(VLOOKUP(1,Scores!$S$3:$AR$82,11,FALSE))=TRUE,"",IF(VLOOKUP(1,Scores!$S$3:$AR$82,11,FALSE)="","",(VLOOKUP(1,Scores!$S$3:$AR$82,11,FALSE))))</f>
        <v/>
      </c>
      <c r="I39" s="17" t="str">
        <f>IF(ISNA(VLOOKUP(1,Scores!$S$3:$AR$82,22,FALSE))=TRUE,"",IF(VLOOKUP(1,Scores!$S$3:$AR$82,22,FALSE)="","",(VLOOKUP(1,Scores!$S$3:$AR$82,22,FALSE))))</f>
        <v/>
      </c>
      <c r="J39" s="17" t="str">
        <f>IF(ISNA(VLOOKUP(1,Scores!$S$3:$AR$82,1,FALSE))=TRUE,"",IF(VLOOKUP(1,Scores!$S$3:$AR$82,1,FALSE)="","",(VLOOKUP(1,Scores!$S$3:$AR$82,1,FALSE))))</f>
        <v/>
      </c>
      <c r="L39" s="17" t="str">
        <f>IF(ISNA(VLOOKUP(1,Scores!$U$3:$AR$82,8,FALSE))=TRUE,"",IF(VLOOKUP(1,Scores!$U$3:$AR$82,8,FALSE)="","",(VLOOKUP(1,Scores!$U$3:$AR$82,8,FALSE))))</f>
        <v/>
      </c>
      <c r="M39" s="17" t="str">
        <f>IF(ISNA(VLOOKUP(1,Scores!$U$3:$AR$82,9,FALSE))=TRUE,"",IF(VLOOKUP(1,Scores!$U$3:$AR$82,9,FALSE)="","",(VLOOKUP(1,Scores!$U$3:$AR$82,9,FALSE))))</f>
        <v/>
      </c>
      <c r="N39" s="17" t="str">
        <f>IF(ISNA(VLOOKUP(1,Scores!$U$3:$AR$82,20,FALSE))=TRUE,"",IF(VLOOKUP(1,Scores!$U$3:$AR$82,20,FALSE)="","",(VLOOKUP(1,Scores!$U$3:$AR$82,20,FALSE))))</f>
        <v/>
      </c>
      <c r="O39" s="17" t="str">
        <f>IF(ISNA(VLOOKUP(1,Scores!$U$3:$AR$82,1,FALSE))=TRUE,"",IF(VLOOKUP(1,Scores!$U$3:$AR$82,1,FALSE)="","",(VLOOKUP(1,Scores!$U$3:$AR$82,1,FALSE))))</f>
        <v/>
      </c>
      <c r="Q39" s="17" t="str">
        <f>IF(ISNA(VLOOKUP(1,Scores!$W$3:$AR$82,6,FALSE))=TRUE,"",IF(VLOOKUP(1,Scores!$W$3:$AR$82,6,FALSE)="","",(VLOOKUP(1,Scores!$W$3:$AR$82,6,FALSE))))</f>
        <v/>
      </c>
      <c r="R39" s="17" t="str">
        <f>IF(ISNA(VLOOKUP(1,Scores!$W$3:$AR$82,7,FALSE))=TRUE,"",IF(VLOOKUP(1,Scores!$W$3:$AR$82,7,FALSE)="","",(VLOOKUP(1,Scores!$W$3:$AR$82,7,FALSE))))</f>
        <v/>
      </c>
      <c r="S39" s="17" t="str">
        <f>IF(ISNA(VLOOKUP(1,Scores!$W$3:$AR$82,18,FALSE))=TRUE,"",IF(VLOOKUP(1,Scores!$W$3:$AR$82,18,FALSE)="","",(VLOOKUP(1,Scores!$W$3:$AR$82,18,FALSE))))</f>
        <v/>
      </c>
      <c r="T39" s="17" t="str">
        <f>IF(ISNA(VLOOKUP(1,Scores!$W$3:$AR$82,1,FALSE))=TRUE,"",IF(VLOOKUP(1,Scores!$W$3:$AR$82,1,FALSE)="","",(VLOOKUP(1,Scores!$W$3:$AR$82,1,FALSE))))</f>
        <v/>
      </c>
    </row>
    <row r="40" spans="2:20" x14ac:dyDescent="0.25">
      <c r="B40" s="17" t="str">
        <f>IF(ISNA(VLOOKUP(2,Scores!$Q$3:$AR$82,12,FALSE))=TRUE,"",IF(VLOOKUP(2,Scores!$Q$3:$AR$82,12,FALSE)="","",(VLOOKUP(2,Scores!$Q$3:$AR$82,12,FALSE))))</f>
        <v/>
      </c>
      <c r="C40" s="17" t="str">
        <f>IF(ISNA(VLOOKUP(2,Scores!$Q$3:$AR$82,13,FALSE))=TRUE,"",IF(VLOOKUP(2,Scores!$Q$3:$AR$82,13,FALSE)="","",(VLOOKUP(2,Scores!$Q$3:$AR$82,13,FALSE))))</f>
        <v/>
      </c>
      <c r="D40" s="17" t="str">
        <f>IF(ISNA(VLOOKUP(2,Scores!$Q$3:$AR$82,12,FALSE))=TRUE,"",IF(VLOOKUP(2,Scores!$Q$3:$AR$82,12,FALSE)="","",(VLOOKUP(2,Scores!$Q$3:$AR$82,12,FALSE))))</f>
        <v/>
      </c>
      <c r="E40" s="17" t="str">
        <f>IF(ISNA(VLOOKUP(2,Scores!$Q$3:$AR$82,1,FALSE))=TRUE,"",IF(VLOOKUP(2,Scores!$Q$3:$AR$82,1,FALSE)="","",(VLOOKUP(2,Scores!$Q$3:$AR$82,1,FALSE))))</f>
        <v/>
      </c>
      <c r="G40" s="17" t="str">
        <f>IF(ISNA(VLOOKUP(2,Scores!$S$3:$AR$82,10,FALSE))=TRUE,"",IF(VLOOKUP(2,Scores!$S$3:$AR$82,10,FALSE)="","",(VLOOKUP(2,Scores!$S$3:$AR$82,10,FALSE))))</f>
        <v/>
      </c>
      <c r="H40" s="17" t="str">
        <f>IF(ISNA(VLOOKUP(2,Scores!$S$3:$AR$82,11,FALSE))=TRUE,"",IF(VLOOKUP(2,Scores!$S$3:$AR$82,11,FALSE)="","",(VLOOKUP(2,Scores!$S$3:$AR$82,11,FALSE))))</f>
        <v/>
      </c>
      <c r="I40" s="17" t="str">
        <f>IF(ISNA(VLOOKUP(2,Scores!$S$3:$AR$82,22,FALSE))=TRUE,"",IF(VLOOKUP(2,Scores!$S$3:$AR$82,22,FALSE)="","",(VLOOKUP(2,Scores!$S$3:$AR$82,22,FALSE))))</f>
        <v/>
      </c>
      <c r="J40" s="17" t="str">
        <f>IF(ISNA(VLOOKUP(2,Scores!$S$3:$AR$82,1,FALSE))=TRUE,"",IF(VLOOKUP(2,Scores!$S$3:$AR$82,1,FALSE)="","",(VLOOKUP(2,Scores!$S$3:$AR$82,1,FALSE))))</f>
        <v/>
      </c>
      <c r="L40" s="17" t="str">
        <f>IF(ISNA(VLOOKUP(2,Scores!$U$3:$AR$82,8,FALSE))=TRUE,"",IF(VLOOKUP(2,Scores!$U$3:$AR$82,8,FALSE)="","",(VLOOKUP(2,Scores!$U$3:$AR$82,8,FALSE))))</f>
        <v/>
      </c>
      <c r="M40" s="17" t="str">
        <f>IF(ISNA(VLOOKUP(2,Scores!$U$3:$AR$82,9,FALSE))=TRUE,"",IF(VLOOKUP(2,Scores!$U$3:$AR$82,9,FALSE)="","",(VLOOKUP(2,Scores!$U$3:$AR$82,9,FALSE))))</f>
        <v/>
      </c>
      <c r="N40" s="17" t="str">
        <f>IF(ISNA(VLOOKUP(2,Scores!$U$3:$AR$82,20,FALSE))=TRUE,"",IF(VLOOKUP(2,Scores!$U$3:$AR$82,20,FALSE)="","",(VLOOKUP(2,Scores!$U$3:$AR$82,20,FALSE))))</f>
        <v/>
      </c>
      <c r="O40" s="17" t="str">
        <f>IF(ISNA(VLOOKUP(2,Scores!$U$3:$AR$82,1,FALSE))=TRUE,"",IF(VLOOKUP(2,Scores!$U$3:$AR$82,1,FALSE)="","",(VLOOKUP(2,Scores!$U$3:$AR$82,1,FALSE))))</f>
        <v/>
      </c>
      <c r="Q40" s="17" t="str">
        <f>IF(ISNA(VLOOKUP(2,Scores!$W$3:$AR$82,6,FALSE))=TRUE,"",IF(VLOOKUP(2,Scores!$W$3:$AR$82,6,FALSE)="","",(VLOOKUP(2,Scores!$W$3:$AR$82,6,FALSE))))</f>
        <v/>
      </c>
      <c r="R40" s="17" t="str">
        <f>IF(ISNA(VLOOKUP(2,Scores!$W$3:$AR$82,7,FALSE))=TRUE,"",IF(VLOOKUP(2,Scores!$W$3:$AR$82,7,FALSE)="","",(VLOOKUP(2,Scores!$W$3:$AR$82,7,FALSE))))</f>
        <v/>
      </c>
      <c r="S40" s="17" t="str">
        <f>IF(ISNA(VLOOKUP(2,Scores!$W$3:$AR$82,18,FALSE))=TRUE,"",IF(VLOOKUP(2,Scores!$W$3:$AR$82,18,FALSE)="","",(VLOOKUP(2,Scores!$W$3:$AR$82,18,FALSE))))</f>
        <v/>
      </c>
      <c r="T40" s="17" t="str">
        <f>IF(ISNA(VLOOKUP(2,Scores!$W$3:$AR$82,1,FALSE))=TRUE,"",IF(VLOOKUP(2,Scores!$W$3:$AR$82,1,FALSE)="","",(VLOOKUP(2,Scores!$W$3:$AR$82,1,FALSE))))</f>
        <v/>
      </c>
    </row>
    <row r="41" spans="2:20" x14ac:dyDescent="0.25">
      <c r="B41" s="17" t="str">
        <f>IF(ISNA(VLOOKUP(3,Scores!$Q$3:$AR$82,12,FALSE))=TRUE,"",IF(VLOOKUP(3,Scores!$Q$3:$AR$82,12,FALSE)="","",(VLOOKUP(3,Scores!$Q$3:$AR$82,12,FALSE))))</f>
        <v/>
      </c>
      <c r="C41" s="17" t="str">
        <f>IF(ISNA(VLOOKUP(3,Scores!$Q$3:$AR$82,13,FALSE))=TRUE,"",IF(VLOOKUP(3,Scores!$Q$3:$AR$82,13,FALSE)="","",(VLOOKUP(3,Scores!$Q$3:$AR$82,13,FALSE))))</f>
        <v/>
      </c>
      <c r="D41" s="17" t="str">
        <f>IF(ISNA(VLOOKUP(3,Scores!$Q$3:$AR$82,12,FALSE))=TRUE,"",IF(VLOOKUP(3,Scores!$Q$3:$AR$82,12,FALSE)="","",(VLOOKUP(3,Scores!$Q$3:$AR$82,12,FALSE))))</f>
        <v/>
      </c>
      <c r="E41" s="17" t="str">
        <f>IF(ISNA(VLOOKUP(3,Scores!$Q$3:$AR$82,1,FALSE))=TRUE,"",IF(VLOOKUP(3,Scores!$Q$3:$AR$82,1,FALSE)="","",(VLOOKUP(3,Scores!$Q$3:$AR$82,1,FALSE))))</f>
        <v/>
      </c>
      <c r="G41" s="17" t="str">
        <f>IF(ISNA(VLOOKUP(3,Scores!$S$3:$AR$82,10,FALSE))=TRUE,"",IF(VLOOKUP(3,Scores!$S$3:$AR$82,10,FALSE)="","",(VLOOKUP(3,Scores!$S$3:$AR$82,10,FALSE))))</f>
        <v/>
      </c>
      <c r="H41" s="17" t="str">
        <f>IF(ISNA(VLOOKUP(3,Scores!$S$3:$AR$82,11,FALSE))=TRUE,"",IF(VLOOKUP(3,Scores!$S$3:$AR$82,11,FALSE)="","",(VLOOKUP(3,Scores!$S$3:$AR$82,11,FALSE))))</f>
        <v/>
      </c>
      <c r="I41" s="17" t="str">
        <f>IF(ISNA(VLOOKUP(3,Scores!$S$3:$AR$82,22,FALSE))=TRUE,"",IF(VLOOKUP(3,Scores!$S$3:$AR$82,22,FALSE)="","",(VLOOKUP(3,Scores!$S$3:$AR$82,22,FALSE))))</f>
        <v/>
      </c>
      <c r="J41" s="17" t="str">
        <f>IF(ISNA(VLOOKUP(3,Scores!$S$3:$AR$82,1,FALSE))=TRUE,"",IF(VLOOKUP(3,Scores!$S$3:$AR$82,1,FALSE)="","",(VLOOKUP(3,Scores!$S$3:$AR$82,1,FALSE))))</f>
        <v/>
      </c>
      <c r="L41" s="17" t="str">
        <f>IF(ISNA(VLOOKUP(3,Scores!$U$3:$AR$82,8,FALSE))=TRUE,"",IF(VLOOKUP(3,Scores!$U$3:$AR$82,8,FALSE)="","",(VLOOKUP(3,Scores!$U$3:$AR$82,8,FALSE))))</f>
        <v/>
      </c>
      <c r="M41" s="17" t="str">
        <f>IF(ISNA(VLOOKUP(3,Scores!$U$3:$AR$82,9,FALSE))=TRUE,"",IF(VLOOKUP(3,Scores!$U$3:$AR$82,9,FALSE)="","",(VLOOKUP(3,Scores!$U$3:$AR$82,9,FALSE))))</f>
        <v/>
      </c>
      <c r="N41" s="17" t="str">
        <f>IF(ISNA(VLOOKUP(3,Scores!$U$3:$AR$82,20,FALSE))=TRUE,"",IF(VLOOKUP(3,Scores!$U$3:$AR$82,20,FALSE)="","",(VLOOKUP(3,Scores!$U$3:$AR$82,20,FALSE))))</f>
        <v/>
      </c>
      <c r="O41" s="17" t="str">
        <f>IF(ISNA(VLOOKUP(3,Scores!$U$3:$AR$82,1,FALSE))=TRUE,"",IF(VLOOKUP(3,Scores!$U$3:$AR$82,1,FALSE)="","",(VLOOKUP(3,Scores!$U$3:$AR$82,1,FALSE))))</f>
        <v/>
      </c>
      <c r="Q41" s="17" t="str">
        <f>IF(ISNA(VLOOKUP(3,Scores!$W$3:$AR$82,6,FALSE))=TRUE,"",IF(VLOOKUP(3,Scores!$W$3:$AR$82,6,FALSE)="","",(VLOOKUP(3,Scores!$W$3:$AR$82,6,FALSE))))</f>
        <v/>
      </c>
      <c r="R41" s="17" t="str">
        <f>IF(ISNA(VLOOKUP(3,Scores!$W$3:$AR$82,7,FALSE))=TRUE,"",IF(VLOOKUP(3,Scores!$W$3:$AR$82,7,FALSE)="","",(VLOOKUP(3,Scores!$W$3:$AR$82,7,FALSE))))</f>
        <v/>
      </c>
      <c r="S41" s="17" t="str">
        <f>IF(ISNA(VLOOKUP(3,Scores!$W$3:$AR$82,18,FALSE))=TRUE,"",IF(VLOOKUP(3,Scores!$W$3:$AR$82,18,FALSE)="","",(VLOOKUP(3,Scores!$W$3:$AR$82,18,FALSE))))</f>
        <v/>
      </c>
      <c r="T41" s="17" t="str">
        <f>IF(ISNA(VLOOKUP(3,Scores!$W$3:$AR$82,1,FALSE))=TRUE,"",IF(VLOOKUP(3,Scores!$W$3:$AR$82,1,FALSE)="","",(VLOOKUP(3,Scores!$W$3:$AR$82,1,FALSE))))</f>
        <v/>
      </c>
    </row>
    <row r="42" spans="2:20" x14ac:dyDescent="0.25">
      <c r="B42" s="17" t="str">
        <f>IF(ISNA(VLOOKUP(4,Scores!$Q$3:$AR$82,12,FALSE))=TRUE,"",IF(VLOOKUP(4,Scores!$Q$3:$AR$82,12,FALSE)="","",(VLOOKUP(4,Scores!$Q$3:$AR$82,12,FALSE))))</f>
        <v/>
      </c>
      <c r="C42" s="17" t="str">
        <f>IF(ISNA(VLOOKUP(4,Scores!$Q$3:$AR$82,13,FALSE))=TRUE,"",IF(VLOOKUP(4,Scores!$Q$3:$AR$82,13,FALSE)="","",(VLOOKUP(4,Scores!$Q$3:$AR$82,13,FALSE))))</f>
        <v/>
      </c>
      <c r="D42" s="17" t="str">
        <f>IF(ISNA(VLOOKUP(4,Scores!$Q$3:$AR$82,12,FALSE))=TRUE,"",IF(VLOOKUP(4,Scores!$Q$3:$AR$82,12,FALSE)="","",(VLOOKUP(4,Scores!$Q$3:$AR$82,12,FALSE))))</f>
        <v/>
      </c>
      <c r="E42" s="17" t="str">
        <f>IF(ISNA(VLOOKUP(4,Scores!$Q$3:$AR$82,1,FALSE))=TRUE,"",IF(VLOOKUP(4,Scores!$Q$3:$AR$82,1,FALSE)="","",(VLOOKUP(4,Scores!$Q$3:$AR$82,1,FALSE))))</f>
        <v/>
      </c>
      <c r="G42" s="17" t="str">
        <f>IF(ISNA(VLOOKUP(4,Scores!$S$3:$AR$82,10,FALSE))=TRUE,"",IF(VLOOKUP(4,Scores!$S$3:$AR$82,10,FALSE)="","",(VLOOKUP(4,Scores!$S$3:$AR$82,10,FALSE))))</f>
        <v/>
      </c>
      <c r="H42" s="17" t="str">
        <f>IF(ISNA(VLOOKUP(4,Scores!$S$3:$AR$82,11,FALSE))=TRUE,"",IF(VLOOKUP(4,Scores!$S$3:$AR$82,11,FALSE)="","",(VLOOKUP(4,Scores!$S$3:$AR$82,11,FALSE))))</f>
        <v/>
      </c>
      <c r="I42" s="17" t="str">
        <f>IF(ISNA(VLOOKUP(4,Scores!$S$3:$AR$82,22,FALSE))=TRUE,"",IF(VLOOKUP(4,Scores!$S$3:$AR$82,22,FALSE)="","",(VLOOKUP(4,Scores!$S$3:$AR$82,22,FALSE))))</f>
        <v/>
      </c>
      <c r="J42" s="17" t="str">
        <f>IF(ISNA(VLOOKUP(4,Scores!$S$3:$AR$82,1,FALSE))=TRUE,"",IF(VLOOKUP(4,Scores!$S$3:$AR$82,1,FALSE)="","",(VLOOKUP(4,Scores!$S$3:$AR$82,1,FALSE))))</f>
        <v/>
      </c>
      <c r="L42" s="17" t="str">
        <f>IF(ISNA(VLOOKUP(4,Scores!$U$3:$AR$82,8,FALSE))=TRUE,"",IF(VLOOKUP(4,Scores!$U$3:$AR$82,8,FALSE)="","",(VLOOKUP(4,Scores!$U$3:$AR$82,8,FALSE))))</f>
        <v/>
      </c>
      <c r="M42" s="17" t="str">
        <f>IF(ISNA(VLOOKUP(4,Scores!$U$3:$AR$82,9,FALSE))=TRUE,"",IF(VLOOKUP(4,Scores!$U$3:$AR$82,9,FALSE)="","",(VLOOKUP(4,Scores!$U$3:$AR$82,9,FALSE))))</f>
        <v/>
      </c>
      <c r="N42" s="17" t="str">
        <f>IF(ISNA(VLOOKUP(4,Scores!$U$3:$AR$82,20,FALSE))=TRUE,"",IF(VLOOKUP(4,Scores!$U$3:$AR$82,20,FALSE)="","",(VLOOKUP(4,Scores!$U$3:$AR$82,20,FALSE))))</f>
        <v/>
      </c>
      <c r="O42" s="17" t="str">
        <f>IF(ISNA(VLOOKUP(4,Scores!$U$3:$AR$82,1,FALSE))=TRUE,"",IF(VLOOKUP(4,Scores!$U$3:$AR$82,1,FALSE)="","",(VLOOKUP(4,Scores!$U$3:$AR$82,1,FALSE))))</f>
        <v/>
      </c>
      <c r="Q42" s="17" t="str">
        <f>IF(ISNA(VLOOKUP(4,Scores!$W$3:$AR$82,6,FALSE))=TRUE,"",IF(VLOOKUP(4,Scores!$W$3:$AR$82,6,FALSE)="","",(VLOOKUP(4,Scores!$W$3:$AR$82,6,FALSE))))</f>
        <v/>
      </c>
      <c r="R42" s="17" t="str">
        <f>IF(ISNA(VLOOKUP(4,Scores!$W$3:$AR$82,7,FALSE))=TRUE,"",IF(VLOOKUP(4,Scores!$W$3:$AR$82,7,FALSE)="","",(VLOOKUP(4,Scores!$W$3:$AR$82,7,FALSE))))</f>
        <v/>
      </c>
      <c r="S42" s="17" t="str">
        <f>IF(ISNA(VLOOKUP(4,Scores!$W$3:$AR$82,18,FALSE))=TRUE,"",IF(VLOOKUP(4,Scores!$W$3:$AR$82,18,FALSE)="","",(VLOOKUP(4,Scores!$W$3:$AR$82,18,FALSE))))</f>
        <v/>
      </c>
      <c r="T42" s="17" t="str">
        <f>IF(ISNA(VLOOKUP(4,Scores!$W$3:$AR$82,1,FALSE))=TRUE,"",IF(VLOOKUP(4,Scores!$W$3:$AR$82,1,FALSE)="","",(VLOOKUP(4,Scores!$W$3:$AR$82,1,FALSE))))</f>
        <v/>
      </c>
    </row>
    <row r="43" spans="2:20" x14ac:dyDescent="0.25">
      <c r="B43" s="17" t="str">
        <f>IF(ISNA(VLOOKUP(5,Scores!$Q$3:$AR$82,12,FALSE))=TRUE,"",IF(VLOOKUP(5,Scores!$Q$3:$AR$82,12,FALSE)="","",(VLOOKUP(5,Scores!$Q$3:$AR$82,12,FALSE))))</f>
        <v/>
      </c>
      <c r="C43" s="17" t="str">
        <f>IF(ISNA(VLOOKUP(5,Scores!$Q$3:$AR$82,13,FALSE))=TRUE,"",IF(VLOOKUP(5,Scores!$Q$3:$AR$82,13,FALSE)="","",(VLOOKUP(5,Scores!$Q$3:$AR$82,13,FALSE))))</f>
        <v/>
      </c>
      <c r="D43" s="17" t="str">
        <f>IF(ISNA(VLOOKUP(5,Scores!$Q$3:$AR$82,12,FALSE))=TRUE,"",IF(VLOOKUP(5,Scores!$Q$3:$AR$82,12,FALSE)="","",(VLOOKUP(5,Scores!$Q$3:$AR$82,12,FALSE))))</f>
        <v/>
      </c>
      <c r="E43" s="17" t="str">
        <f>IF(ISNA(VLOOKUP(5,Scores!$Q$3:$AR$82,1,FALSE))=TRUE,"",IF(VLOOKUP(5,Scores!$Q$3:$AR$82,1,FALSE)="","",(VLOOKUP(5,Scores!$Q$3:$AR$82,1,FALSE))))</f>
        <v/>
      </c>
      <c r="G43" s="17" t="str">
        <f>IF(ISNA(VLOOKUP(5,Scores!$S$3:$AR$82,10,FALSE))=TRUE,"",IF(VLOOKUP(5,Scores!$S$3:$AR$82,10,FALSE)="","",(VLOOKUP(5,Scores!$S$3:$AR$82,10,FALSE))))</f>
        <v/>
      </c>
      <c r="H43" s="17" t="str">
        <f>IF(ISNA(VLOOKUP(5,Scores!$S$3:$AR$82,11,FALSE))=TRUE,"",IF(VLOOKUP(5,Scores!$S$3:$AR$82,11,FALSE)="","",(VLOOKUP(5,Scores!$S$3:$AR$82,11,FALSE))))</f>
        <v/>
      </c>
      <c r="I43" s="17" t="str">
        <f>IF(ISNA(VLOOKUP(5,Scores!$S$3:$AR$82,22,FALSE))=TRUE,"",IF(VLOOKUP(5,Scores!$S$3:$AR$82,22,FALSE)="","",(VLOOKUP(5,Scores!$S$3:$AR$82,22,FALSE))))</f>
        <v/>
      </c>
      <c r="J43" s="17" t="str">
        <f>IF(ISNA(VLOOKUP(5,Scores!$S$3:$AR$82,1,FALSE))=TRUE,"",IF(VLOOKUP(5,Scores!$S$3:$AR$82,1,FALSE)="","",(VLOOKUP(5,Scores!$S$3:$AR$82,1,FALSE))))</f>
        <v/>
      </c>
      <c r="L43" s="17" t="str">
        <f>IF(ISNA(VLOOKUP(5,Scores!$U$3:$AR$82,8,FALSE))=TRUE,"",IF(VLOOKUP(5,Scores!$U$3:$AR$82,8,FALSE)="","",(VLOOKUP(5,Scores!$U$3:$AR$82,8,FALSE))))</f>
        <v/>
      </c>
      <c r="M43" s="17" t="str">
        <f>IF(ISNA(VLOOKUP(5,Scores!$U$3:$AR$82,9,FALSE))=TRUE,"",IF(VLOOKUP(5,Scores!$U$3:$AR$82,9,FALSE)="","",(VLOOKUP(5,Scores!$U$3:$AR$82,9,FALSE))))</f>
        <v/>
      </c>
      <c r="N43" s="17" t="str">
        <f>IF(ISNA(VLOOKUP(5,Scores!$U$3:$AR$82,20,FALSE))=TRUE,"",IF(VLOOKUP(5,Scores!$U$3:$AR$82,20,FALSE)="","",(VLOOKUP(5,Scores!$U$3:$AR$82,20,FALSE))))</f>
        <v/>
      </c>
      <c r="O43" s="17" t="str">
        <f>IF(ISNA(VLOOKUP(5,Scores!$U$3:$AR$82,1,FALSE))=TRUE,"",IF(VLOOKUP(5,Scores!$U$3:$AR$82,1,FALSE)="","",(VLOOKUP(5,Scores!$U$3:$AR$82,1,FALSE))))</f>
        <v/>
      </c>
      <c r="Q43" s="17" t="str">
        <f>IF(ISNA(VLOOKUP(5,Scores!$W$3:$AR$82,6,FALSE))=TRUE,"",IF(VLOOKUP(5,Scores!$W$3:$AR$82,6,FALSE)="","",(VLOOKUP(5,Scores!$W$3:$AR$82,6,FALSE))))</f>
        <v/>
      </c>
      <c r="R43" s="17" t="str">
        <f>IF(ISNA(VLOOKUP(5,Scores!$W$3:$AR$82,7,FALSE))=TRUE,"",IF(VLOOKUP(5,Scores!$W$3:$AR$82,7,FALSE)="","",(VLOOKUP(5,Scores!$W$3:$AR$82,7,FALSE))))</f>
        <v/>
      </c>
      <c r="S43" s="17" t="str">
        <f>IF(ISNA(VLOOKUP(5,Scores!$W$3:$AR$82,18,FALSE))=TRUE,"",IF(VLOOKUP(5,Scores!$W$3:$AR$82,18,FALSE)="","",(VLOOKUP(5,Scores!$W$3:$AR$82,18,FALSE))))</f>
        <v/>
      </c>
      <c r="T43" s="17" t="str">
        <f>IF(ISNA(VLOOKUP(5,Scores!$W$3:$AR$82,1,FALSE))=TRUE,"",IF(VLOOKUP(5,Scores!$W$3:$AR$82,1,FALSE)="","",(VLOOKUP(5,Scores!$W$3:$AR$82,1,FALSE))))</f>
        <v/>
      </c>
    </row>
    <row r="44" spans="2:20" x14ac:dyDescent="0.25">
      <c r="B44" s="17" t="str">
        <f>IF(ISNA(VLOOKUP(6,Scores!$Q$3:$AR$82,12,FALSE))=TRUE,"",IF(VLOOKUP(6,Scores!$Q$3:$AR$82,12,FALSE)="","",(VLOOKUP(6,Scores!$Q$3:$AR$82,12,FALSE))))</f>
        <v/>
      </c>
      <c r="C44" s="17" t="str">
        <f>IF(ISNA(VLOOKUP(6,Scores!$Q$3:$AR$82,13,FALSE))=TRUE,"",IF(VLOOKUP(6,Scores!$Q$3:$AR$82,13,FALSE)="","",(VLOOKUP(6,Scores!$Q$3:$AR$82,13,FALSE))))</f>
        <v/>
      </c>
      <c r="D44" s="17" t="str">
        <f>IF(ISNA(VLOOKUP(6,Scores!$Q$3:$AR$82,12,FALSE))=TRUE,"",IF(VLOOKUP(6,Scores!$Q$3:$AR$82,12,FALSE)="","",(VLOOKUP(6,Scores!$Q$3:$AR$82,12,FALSE))))</f>
        <v/>
      </c>
      <c r="E44" s="17" t="str">
        <f>IF(ISNA(VLOOKUP(6,Scores!$Q$3:$AR$82,1,FALSE))=TRUE,"",IF(VLOOKUP(6,Scores!$Q$3:$AR$82,1,FALSE)="","",(VLOOKUP(6,Scores!$Q$3:$AR$82,1,FALSE))))</f>
        <v/>
      </c>
      <c r="G44" s="17" t="str">
        <f>IF(ISNA(VLOOKUP(6,Scores!$S$3:$AR$82,10,FALSE))=TRUE,"",IF(VLOOKUP(6,Scores!$S$3:$AR$82,10,FALSE)="","",(VLOOKUP(6,Scores!$S$3:$AR$82,10,FALSE))))</f>
        <v/>
      </c>
      <c r="H44" s="17" t="str">
        <f>IF(ISNA(VLOOKUP(6,Scores!$S$3:$AR$82,11,FALSE))=TRUE,"",IF(VLOOKUP(6,Scores!$S$3:$AR$82,11,FALSE)="","",(VLOOKUP(6,Scores!$S$3:$AR$82,11,FALSE))))</f>
        <v/>
      </c>
      <c r="I44" s="17" t="str">
        <f>IF(ISNA(VLOOKUP(6,Scores!$S$3:$AR$82,22,FALSE))=TRUE,"",IF(VLOOKUP(6,Scores!$S$3:$AR$82,22,FALSE)="","",(VLOOKUP(6,Scores!$S$3:$AR$82,22,FALSE))))</f>
        <v/>
      </c>
      <c r="J44" s="17" t="str">
        <f>IF(ISNA(VLOOKUP(6,Scores!$S$3:$AR$82,1,FALSE))=TRUE,"",IF(VLOOKUP(6,Scores!$S$3:$AR$82,1,FALSE)="","",(VLOOKUP(6,Scores!$S$3:$AR$82,1,FALSE))))</f>
        <v/>
      </c>
      <c r="L44" s="17" t="str">
        <f>IF(ISNA(VLOOKUP(6,Scores!$U$3:$AR$82,8,FALSE))=TRUE,"",IF(VLOOKUP(6,Scores!$U$3:$AR$82,8,FALSE)="","",(VLOOKUP(6,Scores!$U$3:$AR$82,8,FALSE))))</f>
        <v/>
      </c>
      <c r="M44" s="17" t="str">
        <f>IF(ISNA(VLOOKUP(6,Scores!$U$3:$AR$82,9,FALSE))=TRUE,"",IF(VLOOKUP(6,Scores!$U$3:$AR$82,9,FALSE)="","",(VLOOKUP(6,Scores!$U$3:$AR$82,9,FALSE))))</f>
        <v/>
      </c>
      <c r="N44" s="17" t="str">
        <f>IF(ISNA(VLOOKUP(6,Scores!$U$3:$AR$82,20,FALSE))=TRUE,"",IF(VLOOKUP(6,Scores!$U$3:$AR$82,20,FALSE)="","",(VLOOKUP(6,Scores!$U$3:$AR$82,20,FALSE))))</f>
        <v/>
      </c>
      <c r="O44" s="17" t="str">
        <f>IF(ISNA(VLOOKUP(6,Scores!$U$3:$AR$82,1,FALSE))=TRUE,"",IF(VLOOKUP(6,Scores!$U$3:$AR$82,1,FALSE)="","",(VLOOKUP(6,Scores!$U$3:$AR$82,1,FALSE))))</f>
        <v/>
      </c>
      <c r="Q44" s="17" t="str">
        <f>IF(ISNA(VLOOKUP(6,Scores!$W$3:$AR$82,6,FALSE))=TRUE,"",IF(VLOOKUP(6,Scores!$W$3:$AR$82,6,FALSE)="","",(VLOOKUP(6,Scores!$W$3:$AR$82,6,FALSE))))</f>
        <v/>
      </c>
      <c r="R44" s="17" t="str">
        <f>IF(ISNA(VLOOKUP(6,Scores!$W$3:$AR$82,7,FALSE))=TRUE,"",IF(VLOOKUP(6,Scores!$W$3:$AR$82,7,FALSE)="","",(VLOOKUP(6,Scores!$W$3:$AR$82,7,FALSE))))</f>
        <v/>
      </c>
      <c r="S44" s="17" t="str">
        <f>IF(ISNA(VLOOKUP(6,Scores!$W$3:$AR$82,18,FALSE))=TRUE,"",IF(VLOOKUP(6,Scores!$W$3:$AR$82,18,FALSE)="","",(VLOOKUP(6,Scores!$W$3:$AR$82,18,FALSE))))</f>
        <v/>
      </c>
      <c r="T44" s="17" t="str">
        <f>IF(ISNA(VLOOKUP(6,Scores!$W$3:$AR$82,1,FALSE))=TRUE,"",IF(VLOOKUP(6,Scores!$W$3:$AR$82,1,FALSE)="","",(VLOOKUP(6,Scores!$W$3:$AR$82,1,FALSE))))</f>
        <v/>
      </c>
    </row>
    <row r="45" spans="2:20" x14ac:dyDescent="0.25">
      <c r="B45" s="17" t="str">
        <f>IF(ISNA(VLOOKUP(7,Scores!$Q$3:$AR$82,12,FALSE))=TRUE,"",IF(VLOOKUP(7,Scores!$Q$3:$AR$82,12,FALSE)="","",(VLOOKUP(7,Scores!$Q$3:$AR$82,12,FALSE))))</f>
        <v/>
      </c>
      <c r="C45" s="17" t="str">
        <f>IF(ISNA(VLOOKUP(7,Scores!$Q$3:$AR$82,13,FALSE))=TRUE,"",IF(VLOOKUP(7,Scores!$Q$3:$AR$82,13,FALSE)="","",(VLOOKUP(7,Scores!$Q$3:$AR$82,13,FALSE))))</f>
        <v/>
      </c>
      <c r="D45" s="17" t="str">
        <f>IF(ISNA(VLOOKUP(7,Scores!$Q$3:$AR$82,12,FALSE))=TRUE,"",IF(VLOOKUP(7,Scores!$Q$3:$AR$82,12,FALSE)="","",(VLOOKUP(7,Scores!$Q$3:$AR$82,12,FALSE))))</f>
        <v/>
      </c>
      <c r="E45" s="17" t="str">
        <f>IF(ISNA(VLOOKUP(7,Scores!$Q$3:$AR$82,1,FALSE))=TRUE,"",IF(VLOOKUP(7,Scores!$Q$3:$AR$82,1,FALSE)="","",(VLOOKUP(7,Scores!$Q$3:$AR$82,1,FALSE))))</f>
        <v/>
      </c>
      <c r="G45" s="17" t="str">
        <f>IF(ISNA(VLOOKUP(7,Scores!$S$3:$AR$82,10,FALSE))=TRUE,"",IF(VLOOKUP(7,Scores!$S$3:$AR$82,10,FALSE)="","",(VLOOKUP(7,Scores!$S$3:$AR$82,10,FALSE))))</f>
        <v/>
      </c>
      <c r="H45" s="17" t="str">
        <f>IF(ISNA(VLOOKUP(7,Scores!$S$3:$AR$82,11,FALSE))=TRUE,"",IF(VLOOKUP(7,Scores!$S$3:$AR$82,11,FALSE)="","",(VLOOKUP(7,Scores!$S$3:$AR$82,11,FALSE))))</f>
        <v/>
      </c>
      <c r="I45" s="17" t="str">
        <f>IF(ISNA(VLOOKUP(7,Scores!$S$3:$AR$82,22,FALSE))=TRUE,"",IF(VLOOKUP(7,Scores!$S$3:$AR$82,22,FALSE)="","",(VLOOKUP(7,Scores!$S$3:$AR$82,22,FALSE))))</f>
        <v/>
      </c>
      <c r="J45" s="17" t="str">
        <f>IF(ISNA(VLOOKUP(7,Scores!$S$3:$AR$82,1,FALSE))=TRUE,"",IF(VLOOKUP(7,Scores!$S$3:$AR$82,1,FALSE)="","",(VLOOKUP(7,Scores!$S$3:$AR$82,1,FALSE))))</f>
        <v/>
      </c>
      <c r="L45" s="17" t="str">
        <f>IF(ISNA(VLOOKUP(7,Scores!$U$3:$AR$82,8,FALSE))=TRUE,"",IF(VLOOKUP(7,Scores!$U$3:$AR$82,8,FALSE)="","",(VLOOKUP(7,Scores!$U$3:$AR$82,8,FALSE))))</f>
        <v/>
      </c>
      <c r="M45" s="17" t="str">
        <f>IF(ISNA(VLOOKUP(7,Scores!$U$3:$AR$82,9,FALSE))=TRUE,"",IF(VLOOKUP(7,Scores!$U$3:$AR$82,9,FALSE)="","",(VLOOKUP(7,Scores!$U$3:$AR$82,9,FALSE))))</f>
        <v/>
      </c>
      <c r="N45" s="17" t="str">
        <f>IF(ISNA(VLOOKUP(7,Scores!$U$3:$AR$82,20,FALSE))=TRUE,"",IF(VLOOKUP(7,Scores!$U$3:$AR$82,20,FALSE)="","",(VLOOKUP(7,Scores!$U$3:$AR$82,20,FALSE))))</f>
        <v/>
      </c>
      <c r="O45" s="17" t="str">
        <f>IF(ISNA(VLOOKUP(7,Scores!$U$3:$AR$82,1,FALSE))=TRUE,"",IF(VLOOKUP(7,Scores!$U$3:$AR$82,1,FALSE)="","",(VLOOKUP(7,Scores!$U$3:$AR$82,1,FALSE))))</f>
        <v/>
      </c>
      <c r="Q45" s="17" t="str">
        <f>IF(ISNA(VLOOKUP(7,Scores!$W$3:$AR$82,6,FALSE))=TRUE,"",IF(VLOOKUP(7,Scores!$W$3:$AR$82,6,FALSE)="","",(VLOOKUP(7,Scores!$W$3:$AR$82,6,FALSE))))</f>
        <v/>
      </c>
      <c r="R45" s="17" t="str">
        <f>IF(ISNA(VLOOKUP(7,Scores!$W$3:$AR$82,7,FALSE))=TRUE,"",IF(VLOOKUP(7,Scores!$W$3:$AR$82,7,FALSE)="","",(VLOOKUP(7,Scores!$W$3:$AR$82,7,FALSE))))</f>
        <v/>
      </c>
      <c r="S45" s="17" t="str">
        <f>IF(ISNA(VLOOKUP(7,Scores!$W$3:$AR$82,18,FALSE))=TRUE,"",IF(VLOOKUP(7,Scores!$W$3:$AR$82,18,FALSE)="","",(VLOOKUP(7,Scores!$W$3:$AR$82,18,FALSE))))</f>
        <v/>
      </c>
      <c r="T45" s="17" t="str">
        <f>IF(ISNA(VLOOKUP(7,Scores!$W$3:$AR$82,1,FALSE))=TRUE,"",IF(VLOOKUP(7,Scores!$W$3:$AR$82,1,FALSE)="","",(VLOOKUP(7,Scores!$W$3:$AR$82,1,FALSE))))</f>
        <v/>
      </c>
    </row>
    <row r="46" spans="2:20" x14ac:dyDescent="0.25">
      <c r="B46" s="17" t="str">
        <f>IF(ISNA(VLOOKUP(8,Scores!$Q$3:$AR$82,12,FALSE))=TRUE,"",IF(VLOOKUP(8,Scores!$Q$3:$AR$82,12,FALSE)="","",(VLOOKUP(8,Scores!$Q$3:$AR$82,12,FALSE))))</f>
        <v/>
      </c>
      <c r="C46" s="17" t="str">
        <f>IF(ISNA(VLOOKUP(8,Scores!$Q$3:$AR$82,13,FALSE))=TRUE,"",IF(VLOOKUP(8,Scores!$Q$3:$AR$82,13,FALSE)="","",(VLOOKUP(8,Scores!$Q$3:$AR$82,13,FALSE))))</f>
        <v/>
      </c>
      <c r="D46" s="17" t="str">
        <f>IF(ISNA(VLOOKUP(8,Scores!$Q$3:$AR$82,12,FALSE))=TRUE,"",IF(VLOOKUP(8,Scores!$Q$3:$AR$82,12,FALSE)="","",(VLOOKUP(8,Scores!$Q$3:$AR$82,12,FALSE))))</f>
        <v/>
      </c>
      <c r="E46" s="17" t="str">
        <f>IF(ISNA(VLOOKUP(8,Scores!$Q$3:$AR$82,1,FALSE))=TRUE,"",IF(VLOOKUP(8,Scores!$Q$3:$AR$82,1,FALSE)="","",(VLOOKUP(8,Scores!$Q$3:$AR$82,1,FALSE))))</f>
        <v/>
      </c>
      <c r="G46" s="17" t="str">
        <f>IF(ISNA(VLOOKUP(8,Scores!$S$3:$AR$82,10,FALSE))=TRUE,"",IF(VLOOKUP(8,Scores!$S$3:$AR$82,10,FALSE)="","",(VLOOKUP(8,Scores!$S$3:$AR$82,10,FALSE))))</f>
        <v/>
      </c>
      <c r="H46" s="17" t="str">
        <f>IF(ISNA(VLOOKUP(8,Scores!$S$3:$AR$82,11,FALSE))=TRUE,"",IF(VLOOKUP(8,Scores!$S$3:$AR$82,11,FALSE)="","",(VLOOKUP(8,Scores!$S$3:$AR$82,11,FALSE))))</f>
        <v/>
      </c>
      <c r="I46" s="17" t="str">
        <f>IF(ISNA(VLOOKUP(8,Scores!$S$3:$AR$82,22,FALSE))=TRUE,"",IF(VLOOKUP(8,Scores!$S$3:$AR$82,22,FALSE)="","",(VLOOKUP(8,Scores!$S$3:$AR$82,22,FALSE))))</f>
        <v/>
      </c>
      <c r="J46" s="17" t="str">
        <f>IF(ISNA(VLOOKUP(8,Scores!$S$3:$AR$82,1,FALSE))=TRUE,"",IF(VLOOKUP(8,Scores!$S$3:$AR$82,1,FALSE)="","",(VLOOKUP(8,Scores!$S$3:$AR$82,1,FALSE))))</f>
        <v/>
      </c>
      <c r="L46" s="17" t="str">
        <f>IF(ISNA(VLOOKUP(8,Scores!$U$3:$AR$82,8,FALSE))=TRUE,"",IF(VLOOKUP(8,Scores!$U$3:$AR$82,8,FALSE)="","",(VLOOKUP(8,Scores!$U$3:$AR$82,8,FALSE))))</f>
        <v/>
      </c>
      <c r="M46" s="17" t="str">
        <f>IF(ISNA(VLOOKUP(8,Scores!$U$3:$AR$82,9,FALSE))=TRUE,"",IF(VLOOKUP(8,Scores!$U$3:$AR$82,9,FALSE)="","",(VLOOKUP(8,Scores!$U$3:$AR$82,9,FALSE))))</f>
        <v/>
      </c>
      <c r="N46" s="17" t="str">
        <f>IF(ISNA(VLOOKUP(8,Scores!$U$3:$AR$82,20,FALSE))=TRUE,"",IF(VLOOKUP(8,Scores!$U$3:$AR$82,20,FALSE)="","",(VLOOKUP(8,Scores!$U$3:$AR$82,20,FALSE))))</f>
        <v/>
      </c>
      <c r="O46" s="17" t="str">
        <f>IF(ISNA(VLOOKUP(8,Scores!$U$3:$AR$82,1,FALSE))=TRUE,"",IF(VLOOKUP(8,Scores!$U$3:$AR$82,1,FALSE)="","",(VLOOKUP(8,Scores!$U$3:$AR$82,1,FALSE))))</f>
        <v/>
      </c>
      <c r="Q46" s="17" t="str">
        <f>IF(ISNA(VLOOKUP(8,Scores!$W$3:$AR$82,6,FALSE))=TRUE,"",IF(VLOOKUP(8,Scores!$W$3:$AR$82,6,FALSE)="","",(VLOOKUP(8,Scores!$W$3:$AR$82,6,FALSE))))</f>
        <v/>
      </c>
      <c r="R46" s="17" t="str">
        <f>IF(ISNA(VLOOKUP(8,Scores!$W$3:$AR$82,7,FALSE))=TRUE,"",IF(VLOOKUP(8,Scores!$W$3:$AR$82,7,FALSE)="","",(VLOOKUP(8,Scores!$W$3:$AR$82,7,FALSE))))</f>
        <v/>
      </c>
      <c r="S46" s="17" t="str">
        <f>IF(ISNA(VLOOKUP(8,Scores!$W$3:$AR$82,18,FALSE))=TRUE,"",IF(VLOOKUP(8,Scores!$W$3:$AR$82,18,FALSE)="","",(VLOOKUP(8,Scores!$W$3:$AR$82,18,FALSE))))</f>
        <v/>
      </c>
      <c r="T46" s="17" t="str">
        <f>IF(ISNA(VLOOKUP(8,Scores!$W$3:$AR$82,1,FALSE))=TRUE,"",IF(VLOOKUP(8,Scores!$W$3:$AR$82,1,FALSE)="","",(VLOOKUP(8,Scores!$W$3:$AR$82,1,FALSE))))</f>
        <v/>
      </c>
    </row>
    <row r="47" spans="2:20" x14ac:dyDescent="0.25">
      <c r="B47" s="17" t="str">
        <f>IF(ISNA(VLOOKUP(9,Scores!$Q$3:$AR$82,12,FALSE))=TRUE,"",IF(VLOOKUP(9,Scores!$Q$3:$AR$82,12,FALSE)="","",(VLOOKUP(9,Scores!$Q$3:$AR$82,12,FALSE))))</f>
        <v/>
      </c>
      <c r="C47" s="17" t="str">
        <f>IF(ISNA(VLOOKUP(9,Scores!$Q$3:$AR$82,13,FALSE))=TRUE,"",IF(VLOOKUP(9,Scores!$Q$3:$AR$82,13,FALSE)="","",(VLOOKUP(9,Scores!$Q$3:$AR$82,13,FALSE))))</f>
        <v/>
      </c>
      <c r="D47" s="17" t="str">
        <f>IF(ISNA(VLOOKUP(9,Scores!$Q$3:$AR$82,12,FALSE))=TRUE,"",IF(VLOOKUP(9,Scores!$Q$3:$AR$82,12,FALSE)="","",(VLOOKUP(9,Scores!$Q$3:$AR$82,12,FALSE))))</f>
        <v/>
      </c>
      <c r="E47" s="17" t="str">
        <f>IF(ISNA(VLOOKUP(9,Scores!$Q$3:$AR$82,1,FALSE))=TRUE,"",IF(VLOOKUP(9,Scores!$Q$3:$AR$82,1,FALSE)="","",(VLOOKUP(9,Scores!$Q$3:$AR$82,1,FALSE))))</f>
        <v/>
      </c>
      <c r="G47" s="17" t="str">
        <f>IF(ISNA(VLOOKUP(9,Scores!$S$3:$AR$82,10,FALSE))=TRUE,"",IF(VLOOKUP(9,Scores!$S$3:$AR$82,10,FALSE)="","",(VLOOKUP(9,Scores!$S$3:$AR$82,10,FALSE))))</f>
        <v/>
      </c>
      <c r="H47" s="17" t="str">
        <f>IF(ISNA(VLOOKUP(9,Scores!$S$3:$AR$82,11,FALSE))=TRUE,"",IF(VLOOKUP(9,Scores!$S$3:$AR$82,11,FALSE)="","",(VLOOKUP(9,Scores!$S$3:$AR$82,11,FALSE))))</f>
        <v/>
      </c>
      <c r="I47" s="17" t="str">
        <f>IF(ISNA(VLOOKUP(9,Scores!$S$3:$AR$82,22,FALSE))=TRUE,"",IF(VLOOKUP(9,Scores!$S$3:$AR$82,22,FALSE)="","",(VLOOKUP(9,Scores!$S$3:$AR$82,22,FALSE))))</f>
        <v/>
      </c>
      <c r="J47" s="17" t="str">
        <f>IF(ISNA(VLOOKUP(9,Scores!$S$3:$AR$82,1,FALSE))=TRUE,"",IF(VLOOKUP(9,Scores!$S$3:$AR$82,1,FALSE)="","",(VLOOKUP(9,Scores!$S$3:$AR$82,1,FALSE))))</f>
        <v/>
      </c>
      <c r="L47" s="17" t="str">
        <f>IF(ISNA(VLOOKUP(9,Scores!$U$3:$AR$82,8,FALSE))=TRUE,"",IF(VLOOKUP(9,Scores!$U$3:$AR$82,8,FALSE)="","",(VLOOKUP(9,Scores!$U$3:$AR$82,8,FALSE))))</f>
        <v/>
      </c>
      <c r="M47" s="17" t="str">
        <f>IF(ISNA(VLOOKUP(9,Scores!$U$3:$AR$82,9,FALSE))=TRUE,"",IF(VLOOKUP(9,Scores!$U$3:$AR$82,9,FALSE)="","",(VLOOKUP(9,Scores!$U$3:$AR$82,9,FALSE))))</f>
        <v/>
      </c>
      <c r="N47" s="17" t="str">
        <f>IF(ISNA(VLOOKUP(9,Scores!$U$3:$AR$82,20,FALSE))=TRUE,"",IF(VLOOKUP(9,Scores!$U$3:$AR$82,20,FALSE)="","",(VLOOKUP(9,Scores!$U$3:$AR$82,20,FALSE))))</f>
        <v/>
      </c>
      <c r="O47" s="17" t="str">
        <f>IF(ISNA(VLOOKUP(9,Scores!$U$3:$AR$82,1,FALSE))=TRUE,"",IF(VLOOKUP(9,Scores!$U$3:$AR$82,1,FALSE)="","",(VLOOKUP(9,Scores!$U$3:$AR$82,1,FALSE))))</f>
        <v/>
      </c>
      <c r="Q47" s="17" t="str">
        <f>IF(ISNA(VLOOKUP(9,Scores!$W$3:$AR$82,6,FALSE))=TRUE,"",IF(VLOOKUP(9,Scores!$W$3:$AR$82,6,FALSE)="","",(VLOOKUP(9,Scores!$W$3:$AR$82,6,FALSE))))</f>
        <v/>
      </c>
      <c r="R47" s="17" t="str">
        <f>IF(ISNA(VLOOKUP(9,Scores!$W$3:$AR$82,7,FALSE))=TRUE,"",IF(VLOOKUP(9,Scores!$W$3:$AR$82,7,FALSE)="","",(VLOOKUP(9,Scores!$W$3:$AR$82,7,FALSE))))</f>
        <v/>
      </c>
      <c r="S47" s="17" t="str">
        <f>IF(ISNA(VLOOKUP(9,Scores!$W$3:$AR$82,18,FALSE))=TRUE,"",IF(VLOOKUP(9,Scores!$W$3:$AR$82,18,FALSE)="","",(VLOOKUP(9,Scores!$W$3:$AR$82,18,FALSE))))</f>
        <v/>
      </c>
      <c r="T47" s="17" t="str">
        <f>IF(ISNA(VLOOKUP(9,Scores!$W$3:$AR$82,1,FALSE))=TRUE,"",IF(VLOOKUP(9,Scores!$W$3:$AR$82,1,FALSE)="","",(VLOOKUP(9,Scores!$W$3:$AR$82,1,FALSE))))</f>
        <v/>
      </c>
    </row>
    <row r="48" spans="2:20" x14ac:dyDescent="0.25">
      <c r="B48" s="17" t="str">
        <f>IF(ISNA(VLOOKUP(10,Scores!$Q$3:$AR$82,12,FALSE))=TRUE,"",IF(VLOOKUP(10,Scores!$Q$3:$AR$82,12,FALSE)="","",(VLOOKUP(10,Scores!$Q$3:$AR$82,12,FALSE))))</f>
        <v/>
      </c>
      <c r="C48" s="17" t="str">
        <f>IF(ISNA(VLOOKUP(10,Scores!$Q$3:$AR$82,13,FALSE))=TRUE,"",IF(VLOOKUP(10,Scores!$Q$3:$AR$82,13,FALSE)="","",(VLOOKUP(10,Scores!$Q$3:$AR$82,13,FALSE))))</f>
        <v/>
      </c>
      <c r="D48" s="17" t="str">
        <f>IF(ISNA(VLOOKUP(10,Scores!$Q$3:$AR$82,12,FALSE))=TRUE,"",IF(VLOOKUP(10,Scores!$Q$3:$AR$82,12,FALSE)="","",(VLOOKUP(10,Scores!$Q$3:$AR$82,12,FALSE))))</f>
        <v/>
      </c>
      <c r="E48" s="17" t="str">
        <f>IF(ISNA(VLOOKUP(10,Scores!$Q$3:$AR$82,1,FALSE))=TRUE,"",IF(VLOOKUP(10,Scores!$Q$3:$AR$82,1,FALSE)="","",(VLOOKUP(10,Scores!$Q$3:$AR$82,1,FALSE))))</f>
        <v/>
      </c>
      <c r="G48" s="17" t="str">
        <f>IF(ISNA(VLOOKUP(10,Scores!$S$3:$AR$82,10,FALSE))=TRUE,"",IF(VLOOKUP(10,Scores!$S$3:$AR$82,10,FALSE)="","",(VLOOKUP(10,Scores!$S$3:$AR$82,10,FALSE))))</f>
        <v/>
      </c>
      <c r="H48" s="17" t="str">
        <f>IF(ISNA(VLOOKUP(10,Scores!$S$3:$AR$82,11,FALSE))=TRUE,"",IF(VLOOKUP(10,Scores!$S$3:$AR$82,11,FALSE)="","",(VLOOKUP(10,Scores!$S$3:$AR$82,11,FALSE))))</f>
        <v/>
      </c>
      <c r="I48" s="17" t="str">
        <f>IF(ISNA(VLOOKUP(10,Scores!$S$3:$AR$82,22,FALSE))=TRUE,"",IF(VLOOKUP(10,Scores!$S$3:$AR$82,22,FALSE)="","",(VLOOKUP(10,Scores!$S$3:$AR$82,22,FALSE))))</f>
        <v/>
      </c>
      <c r="J48" s="17" t="str">
        <f>IF(ISNA(VLOOKUP(10,Scores!$S$3:$AR$82,1,FALSE))=TRUE,"",IF(VLOOKUP(10,Scores!$S$3:$AR$82,1,FALSE)="","",(VLOOKUP(10,Scores!$S$3:$AR$82,1,FALSE))))</f>
        <v/>
      </c>
      <c r="L48" s="17" t="str">
        <f>IF(ISNA(VLOOKUP(10,Scores!$U$3:$AR$82,8,FALSE))=TRUE,"",IF(VLOOKUP(10,Scores!$U$3:$AR$82,8,FALSE)="","",(VLOOKUP(10,Scores!$U$3:$AR$82,8,FALSE))))</f>
        <v/>
      </c>
      <c r="M48" s="17" t="str">
        <f>IF(ISNA(VLOOKUP(10,Scores!$U$3:$AR$82,9,FALSE))=TRUE,"",IF(VLOOKUP(10,Scores!$U$3:$AR$82,9,FALSE)="","",(VLOOKUP(10,Scores!$U$3:$AR$82,9,FALSE))))</f>
        <v/>
      </c>
      <c r="N48" s="17" t="str">
        <f>IF(ISNA(VLOOKUP(10,Scores!$U$3:$AR$82,20,FALSE))=TRUE,"",IF(VLOOKUP(10,Scores!$U$3:$AR$82,20,FALSE)="","",(VLOOKUP(10,Scores!$U$3:$AR$82,20,FALSE))))</f>
        <v/>
      </c>
      <c r="O48" s="17" t="str">
        <f>IF(ISNA(VLOOKUP(10,Scores!$U$3:$AR$82,1,FALSE))=TRUE,"",IF(VLOOKUP(10,Scores!$U$3:$AR$82,1,FALSE)="","",(VLOOKUP(10,Scores!$U$3:$AR$82,1,FALSE))))</f>
        <v/>
      </c>
      <c r="Q48" s="17" t="str">
        <f>IF(ISNA(VLOOKUP(10,Scores!$W$3:$AR$82,6,FALSE))=TRUE,"",IF(VLOOKUP(10,Scores!$W$3:$AR$82,6,FALSE)="","",(VLOOKUP(10,Scores!$W$3:$AR$82,6,FALSE))))</f>
        <v/>
      </c>
      <c r="R48" s="17" t="str">
        <f>IF(ISNA(VLOOKUP(10,Scores!$W$3:$AR$82,7,FALSE))=TRUE,"",IF(VLOOKUP(10,Scores!$W$3:$AR$82,7,FALSE)="","",(VLOOKUP(10,Scores!$W$3:$AR$82,7,FALSE))))</f>
        <v/>
      </c>
      <c r="S48" s="17" t="str">
        <f>IF(ISNA(VLOOKUP(10,Scores!$W$3:$AR$82,18,FALSE))=TRUE,"",IF(VLOOKUP(10,Scores!$W$3:$AR$82,18,FALSE)="","",(VLOOKUP(10,Scores!$W$3:$AR$82,18,FALSE))))</f>
        <v/>
      </c>
      <c r="T48" s="17" t="str">
        <f>IF(ISNA(VLOOKUP(10,Scores!$W$3:$AR$82,1,FALSE))=TRUE,"",IF(VLOOKUP(10,Scores!$W$3:$AR$82,1,FALSE)="","",(VLOOKUP(10,Scores!$W$3:$AR$82,1,FALSE))))</f>
        <v/>
      </c>
    </row>
    <row r="49" spans="2:20" x14ac:dyDescent="0.25">
      <c r="B49" s="17" t="str">
        <f>IF(ISNA(VLOOKUP(11,Scores!$Q$3:$AR$82,12,FALSE))=TRUE,"",IF(VLOOKUP(11,Scores!$Q$3:$AR$82,12,FALSE)="","",(VLOOKUP(11,Scores!$Q$3:$AR$82,12,FALSE))))</f>
        <v/>
      </c>
      <c r="C49" s="17" t="str">
        <f>IF(ISNA(VLOOKUP(11,Scores!$Q$3:$AR$82,13,FALSE))=TRUE,"",IF(VLOOKUP(11,Scores!$Q$3:$AR$82,13,FALSE)="","",(VLOOKUP(11,Scores!$Q$3:$AR$82,13,FALSE))))</f>
        <v/>
      </c>
      <c r="D49" s="17" t="str">
        <f>IF(ISNA(VLOOKUP(11,Scores!$Q$3:$AR$82,12,FALSE))=TRUE,"",IF(VLOOKUP(11,Scores!$Q$3:$AR$82,12,FALSE)="","",(VLOOKUP(11,Scores!$Q$3:$AR$82,12,FALSE))))</f>
        <v/>
      </c>
      <c r="E49" s="17" t="str">
        <f>IF(ISNA(VLOOKUP(11,Scores!$Q$3:$AR$82,1,FALSE))=TRUE,"",IF(VLOOKUP(11,Scores!$Q$3:$AR$82,1,FALSE)="","",(VLOOKUP(11,Scores!$Q$3:$AR$82,1,FALSE))))</f>
        <v/>
      </c>
      <c r="G49" s="17" t="str">
        <f>IF(ISNA(VLOOKUP(11,Scores!$S$3:$AR$82,10,FALSE))=TRUE,"",IF(VLOOKUP(11,Scores!$S$3:$AR$82,10,FALSE)="","",(VLOOKUP(11,Scores!$S$3:$AR$82,10,FALSE))))</f>
        <v/>
      </c>
      <c r="H49" s="17" t="str">
        <f>IF(ISNA(VLOOKUP(11,Scores!$S$3:$AR$82,11,FALSE))=TRUE,"",IF(VLOOKUP(11,Scores!$S$3:$AR$82,11,FALSE)="","",(VLOOKUP(11,Scores!$S$3:$AR$82,11,FALSE))))</f>
        <v/>
      </c>
      <c r="I49" s="17" t="str">
        <f>IF(ISNA(VLOOKUP(11,Scores!$S$3:$AR$82,22,FALSE))=TRUE,"",IF(VLOOKUP(11,Scores!$S$3:$AR$82,22,FALSE)="","",(VLOOKUP(11,Scores!$S$3:$AR$82,22,FALSE))))</f>
        <v/>
      </c>
      <c r="J49" s="17" t="str">
        <f>IF(ISNA(VLOOKUP(11,Scores!$S$3:$AR$82,1,FALSE))=TRUE,"",IF(VLOOKUP(11,Scores!$S$3:$AR$82,1,FALSE)="","",(VLOOKUP(11,Scores!$S$3:$AR$82,1,FALSE))))</f>
        <v/>
      </c>
      <c r="L49" s="17" t="str">
        <f>IF(ISNA(VLOOKUP(11,Scores!$U$3:$AR$82,8,FALSE))=TRUE,"",IF(VLOOKUP(11,Scores!$U$3:$AR$82,8,FALSE)="","",(VLOOKUP(11,Scores!$U$3:$AR$82,8,FALSE))))</f>
        <v/>
      </c>
      <c r="M49" s="17" t="str">
        <f>IF(ISNA(VLOOKUP(11,Scores!$U$3:$AR$82,9,FALSE))=TRUE,"",IF(VLOOKUP(11,Scores!$U$3:$AR$82,9,FALSE)="","",(VLOOKUP(11,Scores!$U$3:$AR$82,9,FALSE))))</f>
        <v/>
      </c>
      <c r="N49" s="17" t="str">
        <f>IF(ISNA(VLOOKUP(11,Scores!$U$3:$AR$82,20,FALSE))=TRUE,"",IF(VLOOKUP(11,Scores!$U$3:$AR$82,20,FALSE)="","",(VLOOKUP(11,Scores!$U$3:$AR$82,20,FALSE))))</f>
        <v/>
      </c>
      <c r="O49" s="17" t="str">
        <f>IF(ISNA(VLOOKUP(11,Scores!$U$3:$AR$82,1,FALSE))=TRUE,"",IF(VLOOKUP(11,Scores!$U$3:$AR$82,1,FALSE)="","",(VLOOKUP(11,Scores!$U$3:$AR$82,1,FALSE))))</f>
        <v/>
      </c>
      <c r="Q49" s="17" t="str">
        <f>IF(ISNA(VLOOKUP(11,Scores!$W$3:$AR$82,6,FALSE))=TRUE,"",IF(VLOOKUP(11,Scores!$W$3:$AR$82,6,FALSE)="","",(VLOOKUP(11,Scores!$W$3:$AR$82,6,FALSE))))</f>
        <v/>
      </c>
      <c r="R49" s="17" t="str">
        <f>IF(ISNA(VLOOKUP(11,Scores!$W$3:$AR$82,7,FALSE))=TRUE,"",IF(VLOOKUP(11,Scores!$W$3:$AR$82,7,FALSE)="","",(VLOOKUP(11,Scores!$W$3:$AR$82,7,FALSE))))</f>
        <v/>
      </c>
      <c r="S49" s="17" t="str">
        <f>IF(ISNA(VLOOKUP(11,Scores!$W$3:$AR$82,18,FALSE))=TRUE,"",IF(VLOOKUP(11,Scores!$W$3:$AR$82,18,FALSE)="","",(VLOOKUP(11,Scores!$W$3:$AR$82,18,FALSE))))</f>
        <v/>
      </c>
      <c r="T49" s="17" t="str">
        <f>IF(ISNA(VLOOKUP(11,Scores!$W$3:$AR$82,1,FALSE))=TRUE,"",IF(VLOOKUP(11,Scores!$W$3:$AR$82,1,FALSE)="","",(VLOOKUP(11,Scores!$W$3:$AR$82,1,FALSE))))</f>
        <v/>
      </c>
    </row>
    <row r="50" spans="2:20" x14ac:dyDescent="0.25">
      <c r="B50" s="17" t="str">
        <f>IF(ISNA(VLOOKUP(12,Scores!$Q$3:$AR$82,12,FALSE))=TRUE,"",IF(VLOOKUP(12,Scores!$Q$3:$AR$82,12,FALSE)="","",(VLOOKUP(12,Scores!$Q$3:$AR$82,12,FALSE))))</f>
        <v/>
      </c>
      <c r="C50" s="17" t="str">
        <f>IF(ISNA(VLOOKUP(12,Scores!$Q$3:$AR$82,13,FALSE))=TRUE,"",IF(VLOOKUP(12,Scores!$Q$3:$AR$82,13,FALSE)="","",(VLOOKUP(12,Scores!$Q$3:$AR$82,13,FALSE))))</f>
        <v/>
      </c>
      <c r="D50" s="17" t="str">
        <f>IF(ISNA(VLOOKUP(12,Scores!$Q$3:$AR$82,12,FALSE))=TRUE,"",IF(VLOOKUP(12,Scores!$Q$3:$AR$82,12,FALSE)="","",(VLOOKUP(12,Scores!$Q$3:$AR$82,12,FALSE))))</f>
        <v/>
      </c>
      <c r="E50" s="17" t="str">
        <f>IF(ISNA(VLOOKUP(12,Scores!$Q$3:$AR$82,1,FALSE))=TRUE,"",IF(VLOOKUP(12,Scores!$Q$3:$AR$82,1,FALSE)="","",(VLOOKUP(12,Scores!$Q$3:$AR$82,1,FALSE))))</f>
        <v/>
      </c>
      <c r="G50" s="17" t="str">
        <f>IF(ISNA(VLOOKUP(12,Scores!$S$3:$AR$82,10,FALSE))=TRUE,"",IF(VLOOKUP(12,Scores!$S$3:$AR$82,10,FALSE)="","",(VLOOKUP(12,Scores!$S$3:$AR$82,10,FALSE))))</f>
        <v/>
      </c>
      <c r="H50" s="17" t="str">
        <f>IF(ISNA(VLOOKUP(12,Scores!$S$3:$AR$82,11,FALSE))=TRUE,"",IF(VLOOKUP(12,Scores!$S$3:$AR$82,11,FALSE)="","",(VLOOKUP(12,Scores!$S$3:$AR$82,11,FALSE))))</f>
        <v/>
      </c>
      <c r="I50" s="17" t="str">
        <f>IF(ISNA(VLOOKUP(12,Scores!$S$3:$AR$82,22,FALSE))=TRUE,"",IF(VLOOKUP(12,Scores!$S$3:$AR$82,22,FALSE)="","",(VLOOKUP(12,Scores!$S$3:$AR$82,22,FALSE))))</f>
        <v/>
      </c>
      <c r="J50" s="17" t="str">
        <f>IF(ISNA(VLOOKUP(12,Scores!$S$3:$AR$82,1,FALSE))=TRUE,"",IF(VLOOKUP(12,Scores!$S$3:$AR$82,1,FALSE)="","",(VLOOKUP(12,Scores!$S$3:$AR$82,1,FALSE))))</f>
        <v/>
      </c>
      <c r="L50" s="17" t="str">
        <f>IF(ISNA(VLOOKUP(12,Scores!$U$3:$AR$82,8,FALSE))=TRUE,"",IF(VLOOKUP(12,Scores!$U$3:$AR$82,8,FALSE)="","",(VLOOKUP(12,Scores!$U$3:$AR$82,8,FALSE))))</f>
        <v/>
      </c>
      <c r="M50" s="17" t="str">
        <f>IF(ISNA(VLOOKUP(12,Scores!$U$3:$AR$82,9,FALSE))=TRUE,"",IF(VLOOKUP(12,Scores!$U$3:$AR$82,9,FALSE)="","",(VLOOKUP(12,Scores!$U$3:$AR$82,9,FALSE))))</f>
        <v/>
      </c>
      <c r="N50" s="17" t="str">
        <f>IF(ISNA(VLOOKUP(12,Scores!$U$3:$AR$82,20,FALSE))=TRUE,"",IF(VLOOKUP(12,Scores!$U$3:$AR$82,20,FALSE)="","",(VLOOKUP(12,Scores!$U$3:$AR$82,20,FALSE))))</f>
        <v/>
      </c>
      <c r="O50" s="17" t="str">
        <f>IF(ISNA(VLOOKUP(12,Scores!$U$3:$AR$82,1,FALSE))=TRUE,"",IF(VLOOKUP(12,Scores!$U$3:$AR$82,1,FALSE)="","",(VLOOKUP(12,Scores!$U$3:$AR$82,1,FALSE))))</f>
        <v/>
      </c>
      <c r="Q50" s="17" t="str">
        <f>IF(ISNA(VLOOKUP(12,Scores!$W$3:$AR$82,6,FALSE))=TRUE,"",IF(VLOOKUP(12,Scores!$W$3:$AR$82,6,FALSE)="","",(VLOOKUP(12,Scores!$W$3:$AR$82,6,FALSE))))</f>
        <v/>
      </c>
      <c r="R50" s="17" t="str">
        <f>IF(ISNA(VLOOKUP(12,Scores!$W$3:$AR$82,7,FALSE))=TRUE,"",IF(VLOOKUP(12,Scores!$W$3:$AR$82,7,FALSE)="","",(VLOOKUP(12,Scores!$W$3:$AR$82,7,FALSE))))</f>
        <v/>
      </c>
      <c r="S50" s="17" t="str">
        <f>IF(ISNA(VLOOKUP(12,Scores!$W$3:$AR$82,18,FALSE))=TRUE,"",IF(VLOOKUP(12,Scores!$W$3:$AR$82,18,FALSE)="","",(VLOOKUP(12,Scores!$W$3:$AR$82,18,FALSE))))</f>
        <v/>
      </c>
      <c r="T50" s="17" t="str">
        <f>IF(ISNA(VLOOKUP(12,Scores!$W$3:$AR$82,1,FALSE))=TRUE,"",IF(VLOOKUP(12,Scores!$W$3:$AR$82,1,FALSE)="","",(VLOOKUP(12,Scores!$W$3:$AR$82,1,FALSE))))</f>
        <v/>
      </c>
    </row>
    <row r="51" spans="2:20" x14ac:dyDescent="0.25">
      <c r="B51" s="17" t="str">
        <f>IF(ISNA(VLOOKUP(13,Scores!$Q$3:$AR$82,12,FALSE))=TRUE,"",IF(VLOOKUP(13,Scores!$Q$3:$AR$82,12,FALSE)="","",(VLOOKUP(13,Scores!$Q$3:$AR$82,12,FALSE))))</f>
        <v/>
      </c>
      <c r="C51" s="17" t="str">
        <f>IF(ISNA(VLOOKUP(13,Scores!$Q$3:$AR$82,13,FALSE))=TRUE,"",IF(VLOOKUP(13,Scores!$Q$3:$AR$82,13,FALSE)="","",(VLOOKUP(13,Scores!$Q$3:$AR$82,13,FALSE))))</f>
        <v/>
      </c>
      <c r="D51" s="17" t="str">
        <f>IF(ISNA(VLOOKUP(13,Scores!$Q$3:$AR$82,12,FALSE))=TRUE,"",IF(VLOOKUP(13,Scores!$Q$3:$AR$82,12,FALSE)="","",(VLOOKUP(13,Scores!$Q$3:$AR$82,12,FALSE))))</f>
        <v/>
      </c>
      <c r="E51" s="17" t="str">
        <f>IF(ISNA(VLOOKUP(13,Scores!$Q$3:$AR$82,1,FALSE))=TRUE,"",IF(VLOOKUP(13,Scores!$Q$3:$AR$82,1,FALSE)="","",(VLOOKUP(13,Scores!$Q$3:$AR$82,1,FALSE))))</f>
        <v/>
      </c>
      <c r="G51" s="17" t="str">
        <f>IF(ISNA(VLOOKUP(13,Scores!$S$3:$AR$82,10,FALSE))=TRUE,"",IF(VLOOKUP(13,Scores!$S$3:$AR$82,10,FALSE)="","",(VLOOKUP(13,Scores!$S$3:$AR$82,10,FALSE))))</f>
        <v/>
      </c>
      <c r="H51" s="17" t="str">
        <f>IF(ISNA(VLOOKUP(13,Scores!$S$3:$AR$82,11,FALSE))=TRUE,"",IF(VLOOKUP(13,Scores!$S$3:$AR$82,11,FALSE)="","",(VLOOKUP(13,Scores!$S$3:$AR$82,11,FALSE))))</f>
        <v/>
      </c>
      <c r="I51" s="17" t="str">
        <f>IF(ISNA(VLOOKUP(13,Scores!$S$3:$AR$82,22,FALSE))=TRUE,"",IF(VLOOKUP(13,Scores!$S$3:$AR$82,22,FALSE)="","",(VLOOKUP(13,Scores!$S$3:$AR$82,22,FALSE))))</f>
        <v/>
      </c>
      <c r="J51" s="17" t="str">
        <f>IF(ISNA(VLOOKUP(13,Scores!$S$3:$AR$82,1,FALSE))=TRUE,"",IF(VLOOKUP(13,Scores!$S$3:$AR$82,1,FALSE)="","",(VLOOKUP(13,Scores!$S$3:$AR$82,1,FALSE))))</f>
        <v/>
      </c>
      <c r="L51" s="17" t="str">
        <f>IF(ISNA(VLOOKUP(13,Scores!$U$3:$AR$82,8,FALSE))=TRUE,"",IF(VLOOKUP(13,Scores!$U$3:$AR$82,8,FALSE)="","",(VLOOKUP(13,Scores!$U$3:$AR$82,8,FALSE))))</f>
        <v/>
      </c>
      <c r="M51" s="17" t="str">
        <f>IF(ISNA(VLOOKUP(13,Scores!$U$3:$AR$82,9,FALSE))=TRUE,"",IF(VLOOKUP(13,Scores!$U$3:$AR$82,9,FALSE)="","",(VLOOKUP(13,Scores!$U$3:$AR$82,9,FALSE))))</f>
        <v/>
      </c>
      <c r="N51" s="17" t="str">
        <f>IF(ISNA(VLOOKUP(13,Scores!$U$3:$AR$82,20,FALSE))=TRUE,"",IF(VLOOKUP(13,Scores!$U$3:$AR$82,20,FALSE)="","",(VLOOKUP(13,Scores!$U$3:$AR$82,20,FALSE))))</f>
        <v/>
      </c>
      <c r="O51" s="17" t="str">
        <f>IF(ISNA(VLOOKUP(13,Scores!$U$3:$AR$82,1,FALSE))=TRUE,"",IF(VLOOKUP(13,Scores!$U$3:$AR$82,1,FALSE)="","",(VLOOKUP(13,Scores!$U$3:$AR$82,1,FALSE))))</f>
        <v/>
      </c>
      <c r="Q51" s="17" t="str">
        <f>IF(ISNA(VLOOKUP(13,Scores!$W$3:$AR$82,6,FALSE))=TRUE,"",IF(VLOOKUP(13,Scores!$W$3:$AR$82,6,FALSE)="","",(VLOOKUP(13,Scores!$W$3:$AR$82,6,FALSE))))</f>
        <v/>
      </c>
      <c r="R51" s="17" t="str">
        <f>IF(ISNA(VLOOKUP(13,Scores!$W$3:$AR$82,7,FALSE))=TRUE,"",IF(VLOOKUP(13,Scores!$W$3:$AR$82,7,FALSE)="","",(VLOOKUP(13,Scores!$W$3:$AR$82,7,FALSE))))</f>
        <v/>
      </c>
      <c r="S51" s="17" t="str">
        <f>IF(ISNA(VLOOKUP(13,Scores!$W$3:$AR$82,18,FALSE))=TRUE,"",IF(VLOOKUP(13,Scores!$W$3:$AR$82,18,FALSE)="","",(VLOOKUP(13,Scores!$W$3:$AR$82,18,FALSE))))</f>
        <v/>
      </c>
      <c r="T51" s="17" t="str">
        <f>IF(ISNA(VLOOKUP(13,Scores!$W$3:$AR$82,1,FALSE))=TRUE,"",IF(VLOOKUP(13,Scores!$W$3:$AR$82,1,FALSE)="","",(VLOOKUP(13,Scores!$W$3:$AR$82,1,FALSE))))</f>
        <v/>
      </c>
    </row>
    <row r="52" spans="2:20" x14ac:dyDescent="0.25">
      <c r="B52" s="17" t="str">
        <f>IF(ISNA(VLOOKUP(14,Scores!$Q$3:$AR$82,12,FALSE))=TRUE,"",IF(VLOOKUP(14,Scores!$Q$3:$AR$82,12,FALSE)="","",(VLOOKUP(14,Scores!$Q$3:$AR$82,12,FALSE))))</f>
        <v/>
      </c>
      <c r="C52" s="17" t="str">
        <f>IF(ISNA(VLOOKUP(14,Scores!$Q$3:$AR$82,13,FALSE))=TRUE,"",IF(VLOOKUP(14,Scores!$Q$3:$AR$82,13,FALSE)="","",(VLOOKUP(14,Scores!$Q$3:$AR$82,13,FALSE))))</f>
        <v/>
      </c>
      <c r="D52" s="17" t="str">
        <f>IF(ISNA(VLOOKUP(14,Scores!$Q$3:$AR$82,12,FALSE))=TRUE,"",IF(VLOOKUP(14,Scores!$Q$3:$AR$82,12,FALSE)="","",(VLOOKUP(14,Scores!$Q$3:$AR$82,12,FALSE))))</f>
        <v/>
      </c>
      <c r="E52" s="17" t="str">
        <f>IF(ISNA(VLOOKUP(14,Scores!$Q$3:$AR$82,1,FALSE))=TRUE,"",IF(VLOOKUP(14,Scores!$Q$3:$AR$82,1,FALSE)="","",(VLOOKUP(14,Scores!$Q$3:$AR$82,1,FALSE))))</f>
        <v/>
      </c>
      <c r="G52" s="17" t="str">
        <f>IF(ISNA(VLOOKUP(14,Scores!$S$3:$AR$82,10,FALSE))=TRUE,"",IF(VLOOKUP(14,Scores!$S$3:$AR$82,10,FALSE)="","",(VLOOKUP(14,Scores!$S$3:$AR$82,10,FALSE))))</f>
        <v/>
      </c>
      <c r="H52" s="17" t="str">
        <f>IF(ISNA(VLOOKUP(14,Scores!$S$3:$AR$82,11,FALSE))=TRUE,"",IF(VLOOKUP(14,Scores!$S$3:$AR$82,11,FALSE)="","",(VLOOKUP(14,Scores!$S$3:$AR$82,11,FALSE))))</f>
        <v/>
      </c>
      <c r="I52" s="17" t="str">
        <f>IF(ISNA(VLOOKUP(14,Scores!$S$3:$AR$82,22,FALSE))=TRUE,"",IF(VLOOKUP(14,Scores!$S$3:$AR$82,22,FALSE)="","",(VLOOKUP(14,Scores!$S$3:$AR$82,22,FALSE))))</f>
        <v/>
      </c>
      <c r="J52" s="17" t="str">
        <f>IF(ISNA(VLOOKUP(14,Scores!$S$3:$AR$82,1,FALSE))=TRUE,"",IF(VLOOKUP(14,Scores!$S$3:$AR$82,1,FALSE)="","",(VLOOKUP(14,Scores!$S$3:$AR$82,1,FALSE))))</f>
        <v/>
      </c>
      <c r="L52" s="17" t="str">
        <f>IF(ISNA(VLOOKUP(14,Scores!$U$3:$AR$82,8,FALSE))=TRUE,"",IF(VLOOKUP(14,Scores!$U$3:$AR$82,8,FALSE)="","",(VLOOKUP(14,Scores!$U$3:$AR$82,8,FALSE))))</f>
        <v/>
      </c>
      <c r="M52" s="17" t="str">
        <f>IF(ISNA(VLOOKUP(14,Scores!$U$3:$AR$82,9,FALSE))=TRUE,"",IF(VLOOKUP(14,Scores!$U$3:$AR$82,9,FALSE)="","",(VLOOKUP(14,Scores!$U$3:$AR$82,9,FALSE))))</f>
        <v/>
      </c>
      <c r="N52" s="17" t="str">
        <f>IF(ISNA(VLOOKUP(14,Scores!$U$3:$AR$82,20,FALSE))=TRUE,"",IF(VLOOKUP(14,Scores!$U$3:$AR$82,20,FALSE)="","",(VLOOKUP(14,Scores!$U$3:$AR$82,20,FALSE))))</f>
        <v/>
      </c>
      <c r="O52" s="17" t="str">
        <f>IF(ISNA(VLOOKUP(14,Scores!$U$3:$AR$82,1,FALSE))=TRUE,"",IF(VLOOKUP(14,Scores!$U$3:$AR$82,1,FALSE)="","",(VLOOKUP(14,Scores!$U$3:$AR$82,1,FALSE))))</f>
        <v/>
      </c>
      <c r="Q52" s="17" t="str">
        <f>IF(ISNA(VLOOKUP(14,Scores!$W$3:$AR$82,6,FALSE))=TRUE,"",IF(VLOOKUP(14,Scores!$W$3:$AR$82,6,FALSE)="","",(VLOOKUP(14,Scores!$W$3:$AR$82,6,FALSE))))</f>
        <v/>
      </c>
      <c r="R52" s="17" t="str">
        <f>IF(ISNA(VLOOKUP(14,Scores!$W$3:$AR$82,7,FALSE))=TRUE,"",IF(VLOOKUP(14,Scores!$W$3:$AR$82,7,FALSE)="","",(VLOOKUP(14,Scores!$W$3:$AR$82,7,FALSE))))</f>
        <v/>
      </c>
      <c r="S52" s="17" t="str">
        <f>IF(ISNA(VLOOKUP(14,Scores!$W$3:$AR$82,18,FALSE))=TRUE,"",IF(VLOOKUP(14,Scores!$W$3:$AR$82,18,FALSE)="","",(VLOOKUP(14,Scores!$W$3:$AR$82,18,FALSE))))</f>
        <v/>
      </c>
      <c r="T52" s="17" t="str">
        <f>IF(ISNA(VLOOKUP(14,Scores!$W$3:$AR$82,1,FALSE))=TRUE,"",IF(VLOOKUP(14,Scores!$W$3:$AR$82,1,FALSE)="","",(VLOOKUP(14,Scores!$W$3:$AR$82,1,FALSE))))</f>
        <v/>
      </c>
    </row>
    <row r="53" spans="2:20" x14ac:dyDescent="0.25">
      <c r="B53" s="17" t="str">
        <f>IF(ISNA(VLOOKUP(15,Scores!$Q$3:$AR$82,12,FALSE))=TRUE,"",IF(VLOOKUP(15,Scores!$Q$3:$AR$82,12,FALSE)="","",(VLOOKUP(15,Scores!$Q$3:$AR$82,12,FALSE))))</f>
        <v/>
      </c>
      <c r="C53" s="17" t="str">
        <f>IF(ISNA(VLOOKUP(15,Scores!$Q$3:$AR$82,13,FALSE))=TRUE,"",IF(VLOOKUP(15,Scores!$Q$3:$AR$82,13,FALSE)="","",(VLOOKUP(15,Scores!$Q$3:$AR$82,13,FALSE))))</f>
        <v/>
      </c>
      <c r="D53" s="17" t="str">
        <f>IF(ISNA(VLOOKUP(15,Scores!$Q$3:$AR$82,12,FALSE))=TRUE,"",IF(VLOOKUP(15,Scores!$Q$3:$AR$82,12,FALSE)="","",(VLOOKUP(15,Scores!$Q$3:$AR$82,12,FALSE))))</f>
        <v/>
      </c>
      <c r="E53" s="17" t="str">
        <f>IF(ISNA(VLOOKUP(15,Scores!$Q$3:$AR$82,1,FALSE))=TRUE,"",IF(VLOOKUP(15,Scores!$Q$3:$AR$82,1,FALSE)="","",(VLOOKUP(15,Scores!$Q$3:$AR$82,1,FALSE))))</f>
        <v/>
      </c>
      <c r="G53" s="17" t="str">
        <f>IF(ISNA(VLOOKUP(15,Scores!$S$3:$AR$82,10,FALSE))=TRUE,"",IF(VLOOKUP(15,Scores!$S$3:$AR$82,10,FALSE)="","",(VLOOKUP(15,Scores!$S$3:$AR$82,10,FALSE))))</f>
        <v/>
      </c>
      <c r="H53" s="17" t="str">
        <f>IF(ISNA(VLOOKUP(15,Scores!$S$3:$AR$82,11,FALSE))=TRUE,"",IF(VLOOKUP(15,Scores!$S$3:$AR$82,11,FALSE)="","",(VLOOKUP(15,Scores!$S$3:$AR$82,11,FALSE))))</f>
        <v/>
      </c>
      <c r="I53" s="17" t="str">
        <f>IF(ISNA(VLOOKUP(15,Scores!$S$3:$AR$82,22,FALSE))=TRUE,"",IF(VLOOKUP(15,Scores!$S$3:$AR$82,22,FALSE)="","",(VLOOKUP(15,Scores!$S$3:$AR$82,22,FALSE))))</f>
        <v/>
      </c>
      <c r="J53" s="17" t="str">
        <f>IF(ISNA(VLOOKUP(15,Scores!$S$3:$AR$82,1,FALSE))=TRUE,"",IF(VLOOKUP(15,Scores!$S$3:$AR$82,1,FALSE)="","",(VLOOKUP(15,Scores!$S$3:$AR$82,1,FALSE))))</f>
        <v/>
      </c>
      <c r="L53" s="17" t="str">
        <f>IF(ISNA(VLOOKUP(15,Scores!$U$3:$AR$82,8,FALSE))=TRUE,"",IF(VLOOKUP(15,Scores!$U$3:$AR$82,8,FALSE)="","",(VLOOKUP(15,Scores!$U$3:$AR$82,8,FALSE))))</f>
        <v/>
      </c>
      <c r="M53" s="17" t="str">
        <f>IF(ISNA(VLOOKUP(15,Scores!$U$3:$AR$82,9,FALSE))=TRUE,"",IF(VLOOKUP(15,Scores!$U$3:$AR$82,9,FALSE)="","",(VLOOKUP(15,Scores!$U$3:$AR$82,9,FALSE))))</f>
        <v/>
      </c>
      <c r="N53" s="17" t="str">
        <f>IF(ISNA(VLOOKUP(15,Scores!$U$3:$AR$82,20,FALSE))=TRUE,"",IF(VLOOKUP(15,Scores!$U$3:$AR$82,20,FALSE)="","",(VLOOKUP(15,Scores!$U$3:$AR$82,20,FALSE))))</f>
        <v/>
      </c>
      <c r="O53" s="17" t="str">
        <f>IF(ISNA(VLOOKUP(15,Scores!$U$3:$AR$82,1,FALSE))=TRUE,"",IF(VLOOKUP(15,Scores!$U$3:$AR$82,1,FALSE)="","",(VLOOKUP(15,Scores!$U$3:$AR$82,1,FALSE))))</f>
        <v/>
      </c>
      <c r="Q53" s="17" t="str">
        <f>IF(ISNA(VLOOKUP(15,Scores!$W$3:$AR$82,6,FALSE))=TRUE,"",IF(VLOOKUP(15,Scores!$W$3:$AR$82,6,FALSE)="","",(VLOOKUP(15,Scores!$W$3:$AR$82,6,FALSE))))</f>
        <v/>
      </c>
      <c r="R53" s="17" t="str">
        <f>IF(ISNA(VLOOKUP(15,Scores!$W$3:$AR$82,7,FALSE))=TRUE,"",IF(VLOOKUP(15,Scores!$W$3:$AR$82,7,FALSE)="","",(VLOOKUP(15,Scores!$W$3:$AR$82,7,FALSE))))</f>
        <v/>
      </c>
      <c r="S53" s="17" t="str">
        <f>IF(ISNA(VLOOKUP(15,Scores!$W$3:$AR$82,18,FALSE))=TRUE,"",IF(VLOOKUP(15,Scores!$W$3:$AR$82,18,FALSE)="","",(VLOOKUP(15,Scores!$W$3:$AR$82,18,FALSE))))</f>
        <v/>
      </c>
      <c r="T53" s="17" t="str">
        <f>IF(ISNA(VLOOKUP(15,Scores!$W$3:$AR$82,1,FALSE))=TRUE,"",IF(VLOOKUP(15,Scores!$W$3:$AR$82,1,FALSE)="","",(VLOOKUP(15,Scores!$W$3:$AR$82,1,FALSE))))</f>
        <v/>
      </c>
    </row>
  </sheetData>
  <sheetProtection algorithmName="SHA-512" hashValue="GCP7YmNFhvBUj2CUSmuqiwLIt4hIr+1sdPvf/jOVsmPC2XJhPkgOOuyBFJWGAIX09i0NA1RR5Ykzq0coCSwEUA==" saltValue="uVsfEGWD52xXRXNeGPwsCw==" spinCount="100000" sheet="1" objects="1" scenarios="1"/>
  <mergeCells count="12">
    <mergeCell ref="L1:O1"/>
    <mergeCell ref="B1:E1"/>
    <mergeCell ref="G1:J1"/>
    <mergeCell ref="Q1:T1"/>
    <mergeCell ref="B37:E37"/>
    <mergeCell ref="G37:J37"/>
    <mergeCell ref="L37:O37"/>
    <mergeCell ref="Q37:T37"/>
    <mergeCell ref="B19:E19"/>
    <mergeCell ref="G19:J19"/>
    <mergeCell ref="L19:O19"/>
    <mergeCell ref="Q19:T19"/>
  </mergeCells>
  <pageMargins left="0.25" right="0.25" top="0.25" bottom="0.25" header="0.3" footer="0.3"/>
  <pageSetup scale="75" fitToWidth="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DEDA9"/>
  </sheetPr>
  <dimension ref="B1:F22"/>
  <sheetViews>
    <sheetView workbookViewId="0">
      <selection activeCell="H7" sqref="H7"/>
    </sheetView>
  </sheetViews>
  <sheetFormatPr defaultRowHeight="15" x14ac:dyDescent="0.25"/>
  <cols>
    <col min="1" max="1" width="1.85546875" style="6" customWidth="1"/>
    <col min="2" max="2" width="33.5703125" style="6" customWidth="1"/>
    <col min="3" max="3" width="15" style="13" bestFit="1" customWidth="1"/>
    <col min="4" max="4" width="16.5703125" style="13" bestFit="1" customWidth="1"/>
    <col min="5" max="5" width="18.7109375" style="13" bestFit="1" customWidth="1"/>
    <col min="6" max="6" width="20.28515625" style="13" bestFit="1" customWidth="1"/>
    <col min="7" max="16384" width="9.140625" style="6"/>
  </cols>
  <sheetData>
    <row r="1" spans="2:6" ht="66.75" customHeight="1" x14ac:dyDescent="0.25"/>
    <row r="2" spans="2:6" ht="15.75" x14ac:dyDescent="0.25">
      <c r="B2" s="82" t="s">
        <v>139</v>
      </c>
      <c r="C2" s="83" t="s">
        <v>140</v>
      </c>
      <c r="D2" s="83" t="s">
        <v>141</v>
      </c>
      <c r="E2" s="83" t="s">
        <v>142</v>
      </c>
      <c r="F2" s="84" t="s">
        <v>143</v>
      </c>
    </row>
    <row r="3" spans="2:6" x14ac:dyDescent="0.25">
      <c r="B3" s="47" t="str">
        <f>IF('Teams &amp; HM'!C2="","",'Teams &amp; HM'!C2)</f>
        <v/>
      </c>
      <c r="C3" s="16" t="str">
        <f>IF(Table1[[#This Row],[Team]]="","",'Teams &amp; HM'!T4)</f>
        <v/>
      </c>
      <c r="D3" s="16" t="str">
        <f>IF(C3="","",RANK(Table1[[#This Row],[HM Score]],Table1[HM Score],0))</f>
        <v/>
      </c>
      <c r="E3" s="48" t="str">
        <f>IF(Table1[[#This Row],[Team]]="","",Scores!AU3)</f>
        <v/>
      </c>
      <c r="F3" s="68" t="str">
        <f>IF(E3="","",RANK(Table1[[#This Row],[Overall Score]],Table1[Overall Score],0))</f>
        <v/>
      </c>
    </row>
    <row r="4" spans="2:6" x14ac:dyDescent="0.25">
      <c r="B4" s="47" t="str">
        <f>IF('Teams &amp; HM'!C10="","",'Teams &amp; HM'!C10)</f>
        <v/>
      </c>
      <c r="C4" s="16" t="str">
        <f>IF(Table1[[#This Row],[Team]]="","",'Teams &amp; HM'!T12)</f>
        <v/>
      </c>
      <c r="D4" s="16" t="str">
        <f>IF(C4="","",RANK(Table1[[#This Row],[HM Score]],Table1[HM Score],0))</f>
        <v/>
      </c>
      <c r="E4" s="48" t="str">
        <f>IF(Table1[[#This Row],[Team]]="","",Scores!AU8)</f>
        <v/>
      </c>
      <c r="F4" s="68" t="str">
        <f>IF(E4="","",RANK(Table1[[#This Row],[Overall Score]],Table1[Overall Score],0))</f>
        <v/>
      </c>
    </row>
    <row r="5" spans="2:6" x14ac:dyDescent="0.25">
      <c r="B5" s="47" t="str">
        <f>IF('Teams &amp; HM'!C18="","",'Teams &amp; HM'!C18)</f>
        <v/>
      </c>
      <c r="C5" s="16" t="str">
        <f>IF(Table1[[#This Row],[Team]]="","",'Teams &amp; HM'!T20)</f>
        <v/>
      </c>
      <c r="D5" s="16" t="str">
        <f>IF(C5="","",RANK(Table1[[#This Row],[HM Score]],Table1[HM Score],0))</f>
        <v/>
      </c>
      <c r="E5" s="48" t="str">
        <f>IF(Table1[[#This Row],[Team]]="","",Scores!AU13)</f>
        <v/>
      </c>
      <c r="F5" s="68" t="str">
        <f>IF(E5="","",RANK(Table1[[#This Row],[Overall Score]],Table1[Overall Score],0))</f>
        <v/>
      </c>
    </row>
    <row r="6" spans="2:6" x14ac:dyDescent="0.25">
      <c r="B6" s="47" t="str">
        <f>IF('Teams &amp; HM'!C26="","",'Teams &amp; HM'!C26)</f>
        <v/>
      </c>
      <c r="C6" s="16" t="str">
        <f>IF(Table1[[#This Row],[Team]]="","",'Teams &amp; HM'!T28)</f>
        <v/>
      </c>
      <c r="D6" s="16" t="str">
        <f>IF(C6="","",RANK(Table1[[#This Row],[HM Score]],Table1[HM Score],0))</f>
        <v/>
      </c>
      <c r="E6" s="48" t="str">
        <f>IF(Table1[[#This Row],[Team]]="","",Scores!AU18)</f>
        <v/>
      </c>
      <c r="F6" s="68" t="str">
        <f>IF(E6="","",RANK(Table1[[#This Row],[Overall Score]],Table1[Overall Score],0))</f>
        <v/>
      </c>
    </row>
    <row r="7" spans="2:6" x14ac:dyDescent="0.25">
      <c r="B7" s="47" t="str">
        <f>IF('Teams &amp; HM'!C34="","",'Teams &amp; HM'!C34)</f>
        <v/>
      </c>
      <c r="C7" s="16" t="str">
        <f>IF(Table1[[#This Row],[Team]]="","",'Teams &amp; HM'!T36)</f>
        <v/>
      </c>
      <c r="D7" s="16" t="str">
        <f>IF(C7="","",RANK(Table1[[#This Row],[HM Score]],Table1[HM Score],0))</f>
        <v/>
      </c>
      <c r="E7" s="48" t="str">
        <f>IF(Table1[[#This Row],[Team]]="","",Scores!AU23)</f>
        <v/>
      </c>
      <c r="F7" s="68" t="str">
        <f>IF(E7="","",RANK(Table1[[#This Row],[Overall Score]],Table1[Overall Score],0))</f>
        <v/>
      </c>
    </row>
    <row r="8" spans="2:6" x14ac:dyDescent="0.25">
      <c r="B8" s="47" t="str">
        <f>IF('Teams &amp; HM'!C42="","",'Teams &amp; HM'!C42)</f>
        <v/>
      </c>
      <c r="C8" s="16" t="str">
        <f>IF(Table1[[#This Row],[Team]]="","",'Teams &amp; HM'!T44)</f>
        <v/>
      </c>
      <c r="D8" s="16" t="str">
        <f>IF(C8="","",RANK(Table1[[#This Row],[HM Score]],Table1[HM Score],0))</f>
        <v/>
      </c>
      <c r="E8" s="48" t="str">
        <f>IF(Table1[[#This Row],[Team]]="","",Scores!AU28)</f>
        <v/>
      </c>
      <c r="F8" s="68" t="str">
        <f>IF(E8="","",RANK(Table1[[#This Row],[Overall Score]],Table1[Overall Score],0))</f>
        <v/>
      </c>
    </row>
    <row r="9" spans="2:6" x14ac:dyDescent="0.25">
      <c r="B9" s="47" t="str">
        <f>IF('Teams &amp; HM'!C50="","",'Teams &amp; HM'!C50)</f>
        <v/>
      </c>
      <c r="C9" s="16" t="str">
        <f>IF(Table1[[#This Row],[Team]]="","",'Teams &amp; HM'!T52)</f>
        <v/>
      </c>
      <c r="D9" s="16" t="str">
        <f>IF(C9="","",RANK(Table1[[#This Row],[HM Score]],Table1[HM Score],0))</f>
        <v/>
      </c>
      <c r="E9" s="48" t="str">
        <f>IF(Table1[[#This Row],[Team]]="","",Scores!AU33)</f>
        <v/>
      </c>
      <c r="F9" s="68" t="str">
        <f>IF(E9="","",RANK(Table1[[#This Row],[Overall Score]],Table1[Overall Score],0))</f>
        <v/>
      </c>
    </row>
    <row r="10" spans="2:6" x14ac:dyDescent="0.25">
      <c r="B10" s="47" t="str">
        <f>IF('Teams &amp; HM'!C58="","",'Teams &amp; HM'!C58)</f>
        <v/>
      </c>
      <c r="C10" s="16" t="str">
        <f>IF(Table1[[#This Row],[Team]]="","",'Teams &amp; HM'!T60)</f>
        <v/>
      </c>
      <c r="D10" s="16" t="str">
        <f>IF(C10="","",RANK(Table1[[#This Row],[HM Score]],Table1[HM Score],0))</f>
        <v/>
      </c>
      <c r="E10" s="48" t="str">
        <f>IF(Table1[[#This Row],[Team]]="","",Scores!AU38)</f>
        <v/>
      </c>
      <c r="F10" s="68" t="str">
        <f>IF(E10="","",RANK(Table1[[#This Row],[Overall Score]],Table1[Overall Score],0))</f>
        <v/>
      </c>
    </row>
    <row r="11" spans="2:6" x14ac:dyDescent="0.25">
      <c r="B11" s="47" t="str">
        <f>IF('Teams &amp; HM'!C66="","",'Teams &amp; HM'!C66)</f>
        <v/>
      </c>
      <c r="C11" s="16" t="str">
        <f>IF(Table1[[#This Row],[Team]]="","",'Teams &amp; HM'!T68)</f>
        <v/>
      </c>
      <c r="D11" s="16" t="str">
        <f>IF(C11="","",RANK(Table1[[#This Row],[HM Score]],Table1[HM Score],0))</f>
        <v/>
      </c>
      <c r="E11" s="48" t="str">
        <f>IF(Table1[[#This Row],[Team]]="","",Scores!AU43)</f>
        <v/>
      </c>
      <c r="F11" s="68" t="str">
        <f>IF(E11="","",RANK(Table1[[#This Row],[Overall Score]],Table1[Overall Score],0))</f>
        <v/>
      </c>
    </row>
    <row r="12" spans="2:6" x14ac:dyDescent="0.25">
      <c r="B12" s="47" t="str">
        <f>IF('Teams &amp; HM'!C74="","",'Teams &amp; HM'!C74)</f>
        <v/>
      </c>
      <c r="C12" s="16" t="str">
        <f>IF(Table1[[#This Row],[Team]]="","",'Teams &amp; HM'!T76)</f>
        <v/>
      </c>
      <c r="D12" s="16" t="str">
        <f>IF(C12="","",RANK(Table1[[#This Row],[HM Score]],Table1[HM Score],0))</f>
        <v/>
      </c>
      <c r="E12" s="48" t="str">
        <f>IF(Table1[[#This Row],[Team]]="","",Scores!AU48)</f>
        <v/>
      </c>
      <c r="F12" s="68" t="str">
        <f>IF(E12="","",RANK(Table1[[#This Row],[Overall Score]],Table1[Overall Score],0))</f>
        <v/>
      </c>
    </row>
    <row r="13" spans="2:6" x14ac:dyDescent="0.25">
      <c r="B13" s="47" t="str">
        <f>IF('Teams &amp; HM'!C82="","",'Teams &amp; HM'!C82)</f>
        <v/>
      </c>
      <c r="C13" s="16" t="str">
        <f>IF(Table1[[#This Row],[Team]]="","",'Teams &amp; HM'!T84)</f>
        <v/>
      </c>
      <c r="D13" s="16" t="str">
        <f>IF(C13="","",RANK(Table1[[#This Row],[HM Score]],Table1[HM Score],0))</f>
        <v/>
      </c>
      <c r="E13" s="48" t="str">
        <f>IF(Table1[[#This Row],[Team]]="","",Scores!AU53)</f>
        <v/>
      </c>
      <c r="F13" s="68" t="str">
        <f>IF(E13="","",RANK(Table1[[#This Row],[Overall Score]],Table1[Overall Score],0))</f>
        <v/>
      </c>
    </row>
    <row r="14" spans="2:6" x14ac:dyDescent="0.25">
      <c r="B14" s="47" t="str">
        <f>IF('Teams &amp; HM'!C90="","",'Teams &amp; HM'!C90)</f>
        <v/>
      </c>
      <c r="C14" s="16" t="str">
        <f>IF(Table1[[#This Row],[Team]]="","",'Teams &amp; HM'!T92)</f>
        <v/>
      </c>
      <c r="D14" s="16" t="str">
        <f>IF(C14="","",RANK(Table1[[#This Row],[HM Score]],Table1[HM Score],0))</f>
        <v/>
      </c>
      <c r="E14" s="48" t="str">
        <f>IF(Table1[[#This Row],[Team]]="","",Scores!AU58)</f>
        <v/>
      </c>
      <c r="F14" s="68" t="str">
        <f>IF(E14="","",RANK(Table1[[#This Row],[Overall Score]],Table1[Overall Score],0))</f>
        <v/>
      </c>
    </row>
    <row r="15" spans="2:6" x14ac:dyDescent="0.25">
      <c r="B15" s="47" t="str">
        <f>IF('Teams &amp; HM'!C90="","",'Teams &amp; HM'!C90)</f>
        <v/>
      </c>
      <c r="C15" s="16" t="str">
        <f>IF(Table1[[#This Row],[Team]]="","",'Teams &amp; HM'!T100)</f>
        <v/>
      </c>
      <c r="D15" s="16" t="str">
        <f>IF(C15="","",RANK(Table1[[#This Row],[HM Score]],Table1[HM Score],0))</f>
        <v/>
      </c>
      <c r="E15" s="48" t="str">
        <f>IF(Table1[[#This Row],[Team]]="","",Scores!AU63)</f>
        <v/>
      </c>
      <c r="F15" s="68" t="str">
        <f>IF(E15="","",RANK(Table1[[#This Row],[Overall Score]],Table1[Overall Score],0))</f>
        <v/>
      </c>
    </row>
    <row r="16" spans="2:6" x14ac:dyDescent="0.25">
      <c r="B16" s="47" t="str">
        <f>IF('Teams &amp; HM'!C106="","",'Teams &amp; HM'!C106)</f>
        <v/>
      </c>
      <c r="C16" s="16" t="str">
        <f>IF(Table1[[#This Row],[Team]]="","",'Teams &amp; HM'!T108)</f>
        <v/>
      </c>
      <c r="D16" s="16" t="str">
        <f>IF(C16="","",RANK(Table1[[#This Row],[HM Score]],Table1[HM Score],0))</f>
        <v/>
      </c>
      <c r="E16" s="48" t="str">
        <f>IF(Table1[[#This Row],[Team]]="","",Scores!AU68)</f>
        <v/>
      </c>
      <c r="F16" s="68" t="str">
        <f>IF(E16="","",RANK(Table1[[#This Row],[Overall Score]],Table1[Overall Score],0))</f>
        <v/>
      </c>
    </row>
    <row r="17" spans="2:6" x14ac:dyDescent="0.25">
      <c r="B17" s="47" t="str">
        <f>IF('Teams &amp; HM'!C114="","",'Teams &amp; HM'!C114)</f>
        <v/>
      </c>
      <c r="C17" s="16" t="str">
        <f>IF(Table1[[#This Row],[Team]]="","",'Teams &amp; HM'!T116)</f>
        <v/>
      </c>
      <c r="D17" s="16" t="str">
        <f>IF(C17="","",RANK(Table1[[#This Row],[HM Score]],Table1[HM Score],0))</f>
        <v/>
      </c>
      <c r="E17" s="48" t="str">
        <f>IF(Table1[[#This Row],[Team]]="","",Scores!AU73)</f>
        <v/>
      </c>
      <c r="F17" s="68" t="str">
        <f>IF(E17="","",RANK(Table1[[#This Row],[Overall Score]],Table1[Overall Score],0))</f>
        <v/>
      </c>
    </row>
    <row r="18" spans="2:6" x14ac:dyDescent="0.25">
      <c r="B18" s="47" t="str">
        <f>IF('Teams &amp; HM'!C122="","",'Teams &amp; HM'!C122)</f>
        <v/>
      </c>
      <c r="C18" s="16" t="str">
        <f>IF(Table1[[#This Row],[Team]]="","",'Teams &amp; HM'!T124)</f>
        <v/>
      </c>
      <c r="D18" s="16" t="str">
        <f>IF(C18="","",RANK(Table1[[#This Row],[HM Score]],Table1[HM Score],0))</f>
        <v/>
      </c>
      <c r="E18" s="48" t="str">
        <f>IF(Table1[[#This Row],[Team]]="","",Scores!AU78)</f>
        <v/>
      </c>
      <c r="F18" s="68" t="str">
        <f>IF(E18="","",RANK(Table1[[#This Row],[Overall Score]],Table1[Overall Score],0))</f>
        <v/>
      </c>
    </row>
    <row r="19" spans="2:6" x14ac:dyDescent="0.25">
      <c r="B19" s="47" t="str">
        <f>IF('Teams &amp; HM'!C130="","",'Teams &amp; HM'!C130)</f>
        <v/>
      </c>
      <c r="C19" s="16" t="str">
        <f>IF(Table1[[#This Row],[Team]]="","",'Teams &amp; HM'!T132)</f>
        <v/>
      </c>
      <c r="D19" s="16" t="str">
        <f>IF(C19="","",RANK(Table1[[#This Row],[HM Score]],Table1[HM Score],0))</f>
        <v/>
      </c>
      <c r="E19" s="48" t="str">
        <f>IF(Table1[[#This Row],[Team]]="","",Scores!AU83)</f>
        <v/>
      </c>
      <c r="F19" s="68" t="str">
        <f>IF(E19="","",RANK(Table1[[#This Row],[Overall Score]],Table1[Overall Score],0))</f>
        <v/>
      </c>
    </row>
    <row r="20" spans="2:6" x14ac:dyDescent="0.25">
      <c r="B20" s="47" t="str">
        <f>IF('Teams &amp; HM'!C138="","",'Teams &amp; HM'!C138)</f>
        <v/>
      </c>
      <c r="C20" s="16" t="str">
        <f>IF(Table1[[#This Row],[Team]]="","",'Teams &amp; HM'!T140)</f>
        <v/>
      </c>
      <c r="D20" s="16" t="str">
        <f>IF(C20="","",RANK(Table1[[#This Row],[HM Score]],Table1[HM Score],0))</f>
        <v/>
      </c>
      <c r="E20" s="48" t="str">
        <f>IF(Table1[[#This Row],[Team]]="","",Scores!AU88)</f>
        <v/>
      </c>
      <c r="F20" s="68" t="str">
        <f>IF(E20="","",RANK(Table1[[#This Row],[Overall Score]],Table1[Overall Score],0))</f>
        <v/>
      </c>
    </row>
    <row r="21" spans="2:6" x14ac:dyDescent="0.25">
      <c r="B21" s="47" t="str">
        <f>IF('Teams &amp; HM'!C146="","",'Teams &amp; HM'!C146)</f>
        <v/>
      </c>
      <c r="C21" s="16" t="str">
        <f>IF(Table1[[#This Row],[Team]]="","",'Teams &amp; HM'!T148)</f>
        <v/>
      </c>
      <c r="D21" s="16" t="str">
        <f>IF(C21="","",RANK(Table1[[#This Row],[HM Score]],Table1[HM Score],0))</f>
        <v/>
      </c>
      <c r="E21" s="48" t="str">
        <f>IF(Table1[[#This Row],[Team]]="","",Scores!AU93)</f>
        <v/>
      </c>
      <c r="F21" s="68" t="str">
        <f>IF(E21="","",RANK(Table1[[#This Row],[Overall Score]],Table1[Overall Score],0))</f>
        <v/>
      </c>
    </row>
    <row r="22" spans="2:6" x14ac:dyDescent="0.25">
      <c r="B22" s="47" t="str">
        <f>IF('Teams &amp; HM'!C154="","",'Teams &amp; HM'!C154)</f>
        <v/>
      </c>
      <c r="C22" s="16" t="str">
        <f>IF(Table1[[#This Row],[Team]]="","",'Teams &amp; HM'!T156)</f>
        <v/>
      </c>
      <c r="D22" s="16" t="str">
        <f>IF(C22="","",RANK(Table1[[#This Row],[HM Score]],Table1[HM Score],0))</f>
        <v/>
      </c>
      <c r="E22" s="48" t="str">
        <f>IF(Table1[[#This Row],[Team]]="","",Scores!AU98)</f>
        <v/>
      </c>
      <c r="F22" s="68" t="str">
        <f>IF(E22="","",RANK(Table1[[#This Row],[Overall Score]],Table1[Overall Score],0))</f>
        <v/>
      </c>
    </row>
  </sheetData>
  <sheetProtection selectLockedCells="1" sort="0" autoFilter="0" selectUnlockedCells="1"/>
  <protectedRanges>
    <protectedRange sqref="B2:F22" name="AllowSortFilter"/>
  </protectedRanges>
  <pageMargins left="0.7" right="0.7" top="0.75" bottom="0.75" header="0.3" footer="0.3"/>
  <pageSetup orientation="landscape" horizontalDpi="360" verticalDpi="36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F2A63FB9D774EBC81D9EF43E730B1" ma:contentTypeVersion="18" ma:contentTypeDescription="Create a new document." ma:contentTypeScope="" ma:versionID="3db2b408a1b3deb2873597d395eee58d">
  <xsd:schema xmlns:xsd="http://www.w3.org/2001/XMLSchema" xmlns:xs="http://www.w3.org/2001/XMLSchema" xmlns:p="http://schemas.microsoft.com/office/2006/metadata/properties" xmlns:ns2="af87b510-f076-4d9f-be9a-775485bdd7bd" xmlns:ns3="7598cb5a-9309-4310-8918-7ad1415fa578" targetNamespace="http://schemas.microsoft.com/office/2006/metadata/properties" ma:root="true" ma:fieldsID="579026659ff8ad2087c2cb8b4f79e115" ns2:_="" ns3:_="">
    <xsd:import namespace="af87b510-f076-4d9f-be9a-775485bdd7bd"/>
    <xsd:import namespace="7598cb5a-9309-4310-8918-7ad1415fa5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7b510-f076-4d9f-be9a-775485bdd7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f9451d-b521-47b9-8dfb-5035f4874e24}" ma:internalName="TaxCatchAll" ma:showField="CatchAllData" ma:web="af87b510-f076-4d9f-be9a-775485bdd7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98cb5a-9309-4310-8918-7ad1415fa5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4524074-0836-43be-9712-b8b7b71ed7a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598cb5a-9309-4310-8918-7ad1415fa578" xsi:nil="true"/>
    <SharedWithUsers xmlns="af87b510-f076-4d9f-be9a-775485bdd7bd">
      <UserInfo>
        <DisplayName/>
        <AccountId xsi:nil="true"/>
        <AccountType/>
      </UserInfo>
    </SharedWithUsers>
    <lcf76f155ced4ddcb4097134ff3c332f xmlns="7598cb5a-9309-4310-8918-7ad1415fa578">
      <Terms xmlns="http://schemas.microsoft.com/office/infopath/2007/PartnerControls"/>
    </lcf76f155ced4ddcb4097134ff3c332f>
    <TaxCatchAll xmlns="af87b510-f076-4d9f-be9a-775485bdd7bd" xsi:nil="true"/>
  </documentManagement>
</p:properties>
</file>

<file path=customXml/itemProps1.xml><?xml version="1.0" encoding="utf-8"?>
<ds:datastoreItem xmlns:ds="http://schemas.openxmlformats.org/officeDocument/2006/customXml" ds:itemID="{A17CF59C-8EE2-4FA8-B7A9-50F4DEA93D32}"/>
</file>

<file path=customXml/itemProps2.xml><?xml version="1.0" encoding="utf-8"?>
<ds:datastoreItem xmlns:ds="http://schemas.openxmlformats.org/officeDocument/2006/customXml" ds:itemID="{D4CF2C72-2B75-4AF2-829A-834FA8510B8A}">
  <ds:schemaRefs>
    <ds:schemaRef ds:uri="http://schemas.microsoft.com/sharepoint/v3/contenttype/forms"/>
  </ds:schemaRefs>
</ds:datastoreItem>
</file>

<file path=customXml/itemProps3.xml><?xml version="1.0" encoding="utf-8"?>
<ds:datastoreItem xmlns:ds="http://schemas.openxmlformats.org/officeDocument/2006/customXml" ds:itemID="{691FF518-462D-497B-B6AF-559332E755D7}">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598cb5a-9309-4310-8918-7ad1415fa578"/>
    <ds:schemaRef ds:uri="af87b510-f076-4d9f-be9a-775485bdd7b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 &amp; Reference</vt:lpstr>
      <vt:lpstr>Teams &amp; HM</vt:lpstr>
      <vt:lpstr>Ride</vt:lpstr>
      <vt:lpstr>Run</vt:lpstr>
      <vt:lpstr>Shoot</vt:lpstr>
      <vt:lpstr>Swim</vt:lpstr>
      <vt:lpstr>Scores</vt:lpstr>
      <vt:lpstr>Ind. Placings</vt:lpstr>
      <vt:lpstr>Team Placings</vt:lpstr>
      <vt:lpstr>'Ind. Placings'!Print_Area</vt:lpstr>
      <vt:lpstr>'Team Placings'!Print_Area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2023-03-27T20:41:50Z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0x010100394F2A63FB9D774EBC81D9EF43E730B1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